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% APBDes" sheetId="13" r:id="rId1"/>
    <sheet name="APBDes2017" sheetId="2" r:id="rId2"/>
    <sheet name="RAB Penyelenggaraan Pem" sheetId="3" r:id="rId3"/>
    <sheet name="RABPembangunan" sheetId="5" r:id="rId4"/>
    <sheet name="RABPembinaanKemasY" sheetId="6" r:id="rId5"/>
    <sheet name="RABPemberdayaanMasy" sheetId="7" r:id="rId6"/>
    <sheet name="RAB Bid Tak Terduga" sheetId="8" r:id="rId7"/>
    <sheet name="SPP" sheetId="9" r:id="rId8"/>
    <sheet name="Kas Bantu" sheetId="10" r:id="rId9"/>
    <sheet name="T.J.Belanja" sheetId="11" r:id="rId10"/>
    <sheet name="Realisasi Belanja" sheetId="12" r:id="rId11"/>
    <sheet name="rekap permohonan DD" sheetId="14" r:id="rId12"/>
    <sheet name="Rekap Permohonan ADD" sheetId="15" r:id="rId13"/>
    <sheet name="Rekap PADes" sheetId="16" r:id="rId14"/>
    <sheet name="rkp SPP" sheetId="17" r:id="rId15"/>
    <sheet name="nitip" sheetId="18" r:id="rId16"/>
    <sheet name="Rkp SPPBid" sheetId="19" r:id="rId17"/>
  </sheets>
  <externalReferences>
    <externalReference r:id="rId18"/>
  </externalReferences>
  <calcPr calcId="124519"/>
</workbook>
</file>

<file path=xl/calcChain.xml><?xml version="1.0" encoding="utf-8"?>
<calcChain xmlns="http://schemas.openxmlformats.org/spreadsheetml/2006/main">
  <c r="O12" i="5"/>
  <c r="O11"/>
  <c r="K176" i="2"/>
  <c r="K174"/>
  <c r="J31" i="5" l="1"/>
  <c r="L612"/>
  <c r="N612" s="1"/>
  <c r="L577"/>
  <c r="J736"/>
  <c r="J735"/>
  <c r="J734"/>
  <c r="J733"/>
  <c r="J642"/>
  <c r="J641"/>
  <c r="J640"/>
  <c r="J639"/>
  <c r="J622"/>
  <c r="J621"/>
  <c r="J620"/>
  <c r="J619"/>
  <c r="J618"/>
  <c r="J599"/>
  <c r="J598"/>
  <c r="J597"/>
  <c r="J596"/>
  <c r="J595"/>
  <c r="J576"/>
  <c r="J575"/>
  <c r="J574"/>
  <c r="J573"/>
  <c r="J572"/>
  <c r="J571"/>
  <c r="J552"/>
  <c r="J551"/>
  <c r="J550"/>
  <c r="J549"/>
  <c r="J548"/>
  <c r="J547"/>
  <c r="J546"/>
  <c r="J545"/>
  <c r="J544"/>
  <c r="J524"/>
  <c r="J523"/>
  <c r="J522"/>
  <c r="J521"/>
  <c r="J520"/>
  <c r="J519"/>
  <c r="J518"/>
  <c r="J498"/>
  <c r="J497"/>
  <c r="J496"/>
  <c r="J495"/>
  <c r="J494"/>
  <c r="J493"/>
  <c r="J492"/>
  <c r="J476"/>
  <c r="J475"/>
  <c r="J474"/>
  <c r="J473"/>
  <c r="J457"/>
  <c r="J456"/>
  <c r="J455"/>
  <c r="J454"/>
  <c r="J435"/>
  <c r="J434"/>
  <c r="J433"/>
  <c r="J432"/>
  <c r="J414"/>
  <c r="J415"/>
  <c r="J416"/>
  <c r="J413"/>
  <c r="J392"/>
  <c r="J393"/>
  <c r="J394"/>
  <c r="J391"/>
  <c r="J368"/>
  <c r="J369"/>
  <c r="J370"/>
  <c r="J371"/>
  <c r="J372"/>
  <c r="J367"/>
  <c r="J348"/>
  <c r="J349"/>
  <c r="J350"/>
  <c r="J351"/>
  <c r="J347"/>
  <c r="J325"/>
  <c r="J326"/>
  <c r="J327"/>
  <c r="J328"/>
  <c r="J324"/>
  <c r="J298"/>
  <c r="J299"/>
  <c r="J300"/>
  <c r="J301"/>
  <c r="J302"/>
  <c r="J303"/>
  <c r="J297"/>
  <c r="J271"/>
  <c r="J272"/>
  <c r="J273"/>
  <c r="J274"/>
  <c r="J275"/>
  <c r="J276"/>
  <c r="J277"/>
  <c r="J270"/>
  <c r="J210"/>
  <c r="J211"/>
  <c r="J212"/>
  <c r="J213"/>
  <c r="J209"/>
  <c r="M26"/>
  <c r="J161"/>
  <c r="J162"/>
  <c r="J163"/>
  <c r="J164"/>
  <c r="J160"/>
  <c r="J121"/>
  <c r="J122"/>
  <c r="J123"/>
  <c r="J124"/>
  <c r="J125"/>
  <c r="J126"/>
  <c r="J120"/>
  <c r="J29"/>
  <c r="J30"/>
  <c r="J32"/>
  <c r="J33"/>
  <c r="J34"/>
  <c r="J35"/>
  <c r="J36"/>
  <c r="J9" i="19"/>
  <c r="K9" s="1"/>
  <c r="J10"/>
  <c r="J11"/>
  <c r="J12"/>
  <c r="K10"/>
  <c r="K11"/>
  <c r="K12"/>
  <c r="J8"/>
  <c r="K8" s="1"/>
  <c r="I14"/>
  <c r="G14"/>
  <c r="H14"/>
  <c r="K13"/>
  <c r="G12"/>
  <c r="J51" i="17"/>
  <c r="J60"/>
  <c r="J56"/>
  <c r="I43"/>
  <c r="I39" s="1"/>
  <c r="J28"/>
  <c r="K28" s="1"/>
  <c r="G28"/>
  <c r="H44"/>
  <c r="I44"/>
  <c r="H39"/>
  <c r="J33"/>
  <c r="J34"/>
  <c r="J35"/>
  <c r="J37"/>
  <c r="J38"/>
  <c r="J32"/>
  <c r="H31"/>
  <c r="H106" i="2"/>
  <c r="H103"/>
  <c r="H114"/>
  <c r="H57" i="7"/>
  <c r="H53"/>
  <c r="H55"/>
  <c r="H56"/>
  <c r="J698" i="5"/>
  <c r="J697"/>
  <c r="J696"/>
  <c r="J695"/>
  <c r="J694"/>
  <c r="J693"/>
  <c r="J692"/>
  <c r="J691"/>
  <c r="J690"/>
  <c r="J689"/>
  <c r="J688"/>
  <c r="J687"/>
  <c r="J686"/>
  <c r="J685"/>
  <c r="J684"/>
  <c r="J682"/>
  <c r="J681"/>
  <c r="J680"/>
  <c r="J679"/>
  <c r="I678"/>
  <c r="J678" s="1"/>
  <c r="I677"/>
  <c r="J677" s="1"/>
  <c r="I676"/>
  <c r="J676" s="1"/>
  <c r="J674"/>
  <c r="J673"/>
  <c r="H71" i="2"/>
  <c r="J294" i="3"/>
  <c r="J293"/>
  <c r="J264"/>
  <c r="J263"/>
  <c r="J262"/>
  <c r="J261"/>
  <c r="J260"/>
  <c r="J259"/>
  <c r="J257"/>
  <c r="J256"/>
  <c r="J255"/>
  <c r="J254"/>
  <c r="J253"/>
  <c r="I252"/>
  <c r="J252" s="1"/>
  <c r="I251"/>
  <c r="J251" s="1"/>
  <c r="I250"/>
  <c r="J250" s="1"/>
  <c r="J248"/>
  <c r="I25" i="17"/>
  <c r="I39" i="3"/>
  <c r="I15" i="17" s="1"/>
  <c r="J27" i="5"/>
  <c r="J28"/>
  <c r="J26"/>
  <c r="G443" i="7"/>
  <c r="H443" s="1"/>
  <c r="G444"/>
  <c r="H444" s="1"/>
  <c r="G445"/>
  <c r="H445" s="1"/>
  <c r="H446"/>
  <c r="H447"/>
  <c r="H448"/>
  <c r="H449"/>
  <c r="H450"/>
  <c r="H451"/>
  <c r="H452"/>
  <c r="H453"/>
  <c r="G482"/>
  <c r="H482" s="1"/>
  <c r="G483"/>
  <c r="H483" s="1"/>
  <c r="G484"/>
  <c r="H484" s="1"/>
  <c r="H485"/>
  <c r="H486"/>
  <c r="H487"/>
  <c r="H488"/>
  <c r="H489"/>
  <c r="H490"/>
  <c r="H491"/>
  <c r="H492"/>
  <c r="G522"/>
  <c r="H522" s="1"/>
  <c r="G523"/>
  <c r="H523" s="1"/>
  <c r="G524"/>
  <c r="H524" s="1"/>
  <c r="H525"/>
  <c r="H526"/>
  <c r="H527"/>
  <c r="H528"/>
  <c r="H529"/>
  <c r="H530"/>
  <c r="H531"/>
  <c r="J531"/>
  <c r="H532"/>
  <c r="J532"/>
  <c r="L532"/>
  <c r="H533"/>
  <c r="H534"/>
  <c r="J534"/>
  <c r="L534"/>
  <c r="G561"/>
  <c r="H561" s="1"/>
  <c r="G562"/>
  <c r="H562" s="1"/>
  <c r="G563"/>
  <c r="H563" s="1"/>
  <c r="H564"/>
  <c r="H566"/>
  <c r="H565" s="1"/>
  <c r="G600"/>
  <c r="H600" s="1"/>
  <c r="G601"/>
  <c r="H601" s="1"/>
  <c r="G602"/>
  <c r="H602" s="1"/>
  <c r="H603"/>
  <c r="H604"/>
  <c r="H605"/>
  <c r="H606"/>
  <c r="H607"/>
  <c r="H608"/>
  <c r="H609"/>
  <c r="H610"/>
  <c r="H611"/>
  <c r="D638"/>
  <c r="G642"/>
  <c r="H642" s="1"/>
  <c r="G643"/>
  <c r="H643" s="1"/>
  <c r="G644"/>
  <c r="H644" s="1"/>
  <c r="H645"/>
  <c r="H646"/>
  <c r="H647"/>
  <c r="H648"/>
  <c r="H649"/>
  <c r="H650"/>
  <c r="H651"/>
  <c r="H652"/>
  <c r="H653"/>
  <c r="G681"/>
  <c r="H681" s="1"/>
  <c r="G682"/>
  <c r="H682" s="1"/>
  <c r="G683"/>
  <c r="H683" s="1"/>
  <c r="H684"/>
  <c r="H685"/>
  <c r="H686"/>
  <c r="H687"/>
  <c r="H688"/>
  <c r="H689"/>
  <c r="H690"/>
  <c r="H691"/>
  <c r="G721"/>
  <c r="H721" s="1"/>
  <c r="G722"/>
  <c r="H722" s="1"/>
  <c r="G723"/>
  <c r="H723" s="1"/>
  <c r="H724"/>
  <c r="H725"/>
  <c r="H726"/>
  <c r="H727"/>
  <c r="H728"/>
  <c r="H729"/>
  <c r="H730"/>
  <c r="H732"/>
  <c r="H733"/>
  <c r="J222" i="5"/>
  <c r="I262"/>
  <c r="J262" s="1"/>
  <c r="I205"/>
  <c r="K77" i="2"/>
  <c r="K75"/>
  <c r="K74"/>
  <c r="M153" i="3"/>
  <c r="J114"/>
  <c r="M113"/>
  <c r="I266" i="5"/>
  <c r="J266" s="1"/>
  <c r="I265"/>
  <c r="J265" s="1"/>
  <c r="I264"/>
  <c r="J264" s="1"/>
  <c r="I261"/>
  <c r="J261" s="1"/>
  <c r="I260"/>
  <c r="J260" s="1"/>
  <c r="I259"/>
  <c r="J259" s="1"/>
  <c r="H768" i="7"/>
  <c r="H767"/>
  <c r="H766"/>
  <c r="H765"/>
  <c r="H764"/>
  <c r="G763"/>
  <c r="H763" s="1"/>
  <c r="G762"/>
  <c r="H762" s="1"/>
  <c r="G761"/>
  <c r="H761" s="1"/>
  <c r="M48" i="2"/>
  <c r="L43" i="5"/>
  <c r="M43" s="1"/>
  <c r="L44"/>
  <c r="M44" s="1"/>
  <c r="K324" l="1"/>
  <c r="K270"/>
  <c r="K26"/>
  <c r="J683"/>
  <c r="H91" i="2" s="1"/>
  <c r="J14" i="19"/>
  <c r="J44" i="17"/>
  <c r="H731" i="7"/>
  <c r="J672" i="5"/>
  <c r="J292" i="3"/>
  <c r="J247"/>
  <c r="J258"/>
  <c r="H68" i="2" s="1"/>
  <c r="H520" i="7"/>
  <c r="H519" s="1"/>
  <c r="H536" s="1"/>
  <c r="H441"/>
  <c r="H440" s="1"/>
  <c r="H455" s="1"/>
  <c r="H679"/>
  <c r="H678" s="1"/>
  <c r="J680" s="1"/>
  <c r="H598"/>
  <c r="H597" s="1"/>
  <c r="H613" s="1"/>
  <c r="H559"/>
  <c r="H558" s="1"/>
  <c r="H567" s="1"/>
  <c r="H480"/>
  <c r="H479" s="1"/>
  <c r="H719"/>
  <c r="H718" s="1"/>
  <c r="H640"/>
  <c r="H639" s="1"/>
  <c r="H769"/>
  <c r="H153" i="2" s="1"/>
  <c r="H759" i="7"/>
  <c r="H152" i="2" s="1"/>
  <c r="J291" i="3" l="1"/>
  <c r="F285" s="1"/>
  <c r="F284" s="1"/>
  <c r="H70" i="2"/>
  <c r="H69" s="1"/>
  <c r="G30" i="17" s="1"/>
  <c r="G29" s="1"/>
  <c r="J671" i="5"/>
  <c r="J699" s="1"/>
  <c r="H90" i="2"/>
  <c r="H89" s="1"/>
  <c r="J246" i="3"/>
  <c r="H67" i="2"/>
  <c r="H66" s="1"/>
  <c r="F513" i="7"/>
  <c r="F434"/>
  <c r="F553"/>
  <c r="F672"/>
  <c r="H693"/>
  <c r="F591"/>
  <c r="J521"/>
  <c r="J599"/>
  <c r="J442"/>
  <c r="I560"/>
  <c r="J481"/>
  <c r="H494"/>
  <c r="F473"/>
  <c r="F633"/>
  <c r="J641"/>
  <c r="H655"/>
  <c r="F712"/>
  <c r="H734"/>
  <c r="I720"/>
  <c r="H758"/>
  <c r="F753" s="1"/>
  <c r="J296" i="3" l="1"/>
  <c r="K14" i="19"/>
  <c r="J265" i="3"/>
  <c r="F240"/>
  <c r="F239" s="1"/>
  <c r="H772" i="7"/>
  <c r="I760"/>
  <c r="J47" i="5" l="1"/>
  <c r="J46"/>
  <c r="J45"/>
  <c r="J44"/>
  <c r="J43"/>
  <c r="J42"/>
  <c r="J41"/>
  <c r="J40"/>
  <c r="J39"/>
  <c r="J38"/>
  <c r="J37"/>
  <c r="J23"/>
  <c r="J22"/>
  <c r="I21"/>
  <c r="J21" s="1"/>
  <c r="I20"/>
  <c r="J20" s="1"/>
  <c r="I19"/>
  <c r="J19" s="1"/>
  <c r="J17"/>
  <c r="J24" l="1"/>
  <c r="L26" s="1"/>
  <c r="J16"/>
  <c r="H75" i="2" s="1"/>
  <c r="L131" i="5"/>
  <c r="M110"/>
  <c r="M112" s="1"/>
  <c r="L110"/>
  <c r="L159"/>
  <c r="H76" i="2" l="1"/>
  <c r="H74" s="1"/>
  <c r="G32" i="17" s="1"/>
  <c r="J15" i="5"/>
  <c r="M25" s="1"/>
  <c r="J741"/>
  <c r="J740"/>
  <c r="J739"/>
  <c r="J738"/>
  <c r="J737"/>
  <c r="J731"/>
  <c r="J730"/>
  <c r="I729"/>
  <c r="J729" s="1"/>
  <c r="I728"/>
  <c r="J728" s="1"/>
  <c r="I727"/>
  <c r="J727" s="1"/>
  <c r="J726"/>
  <c r="J725"/>
  <c r="J646"/>
  <c r="J645"/>
  <c r="J644"/>
  <c r="J643"/>
  <c r="J637"/>
  <c r="J636"/>
  <c r="I635"/>
  <c r="J635" s="1"/>
  <c r="I634"/>
  <c r="J634" s="1"/>
  <c r="I633"/>
  <c r="J633" s="1"/>
  <c r="J631"/>
  <c r="J627"/>
  <c r="J626"/>
  <c r="J625"/>
  <c r="J624"/>
  <c r="J623"/>
  <c r="J616"/>
  <c r="J615"/>
  <c r="I614"/>
  <c r="J614" s="1"/>
  <c r="I613"/>
  <c r="J613" s="1"/>
  <c r="I612"/>
  <c r="J612" s="1"/>
  <c r="J610"/>
  <c r="J606"/>
  <c r="J605"/>
  <c r="J604"/>
  <c r="J603"/>
  <c r="J602"/>
  <c r="J601"/>
  <c r="J600"/>
  <c r="J593"/>
  <c r="J592"/>
  <c r="I591"/>
  <c r="J591" s="1"/>
  <c r="I590"/>
  <c r="J590" s="1"/>
  <c r="I589"/>
  <c r="J589" s="1"/>
  <c r="J587"/>
  <c r="J583"/>
  <c r="J582"/>
  <c r="J581"/>
  <c r="J580"/>
  <c r="J579"/>
  <c r="J578"/>
  <c r="J577"/>
  <c r="J569"/>
  <c r="J568"/>
  <c r="I567"/>
  <c r="J567" s="1"/>
  <c r="I566"/>
  <c r="J566" s="1"/>
  <c r="I565"/>
  <c r="J565" s="1"/>
  <c r="J563"/>
  <c r="J559"/>
  <c r="J558"/>
  <c r="J557"/>
  <c r="J556"/>
  <c r="J555"/>
  <c r="J554"/>
  <c r="J553"/>
  <c r="J542"/>
  <c r="J541"/>
  <c r="I540"/>
  <c r="J540" s="1"/>
  <c r="I539"/>
  <c r="J539" s="1"/>
  <c r="I538"/>
  <c r="J538" s="1"/>
  <c r="J536"/>
  <c r="J532"/>
  <c r="J531"/>
  <c r="J530"/>
  <c r="J529"/>
  <c r="J528"/>
  <c r="J527"/>
  <c r="J526"/>
  <c r="J525"/>
  <c r="J516"/>
  <c r="J515"/>
  <c r="I514"/>
  <c r="J514" s="1"/>
  <c r="I513"/>
  <c r="J513" s="1"/>
  <c r="I512"/>
  <c r="J512" s="1"/>
  <c r="J510"/>
  <c r="J506"/>
  <c r="J505"/>
  <c r="J504"/>
  <c r="J503"/>
  <c r="J502"/>
  <c r="J501"/>
  <c r="J500"/>
  <c r="J499"/>
  <c r="J490"/>
  <c r="J489"/>
  <c r="I488"/>
  <c r="J488" s="1"/>
  <c r="I487"/>
  <c r="J487" s="1"/>
  <c r="I486"/>
  <c r="J486" s="1"/>
  <c r="J484"/>
  <c r="J480"/>
  <c r="J479"/>
  <c r="J478"/>
  <c r="J477"/>
  <c r="J471"/>
  <c r="J470"/>
  <c r="I469"/>
  <c r="J469" s="1"/>
  <c r="I468"/>
  <c r="J468" s="1"/>
  <c r="I467"/>
  <c r="J467" s="1"/>
  <c r="J465"/>
  <c r="J461"/>
  <c r="J460"/>
  <c r="J459"/>
  <c r="J458"/>
  <c r="J452"/>
  <c r="J451"/>
  <c r="I450"/>
  <c r="J450" s="1"/>
  <c r="I449"/>
  <c r="J449" s="1"/>
  <c r="I448"/>
  <c r="J448" s="1"/>
  <c r="J446"/>
  <c r="J442"/>
  <c r="J441"/>
  <c r="J440"/>
  <c r="J439"/>
  <c r="J438"/>
  <c r="J437"/>
  <c r="J436"/>
  <c r="J430"/>
  <c r="J429"/>
  <c r="I428"/>
  <c r="J428" s="1"/>
  <c r="I427"/>
  <c r="J427" s="1"/>
  <c r="I426"/>
  <c r="J426" s="1"/>
  <c r="J424"/>
  <c r="J420"/>
  <c r="J419"/>
  <c r="J418"/>
  <c r="J417"/>
  <c r="J411"/>
  <c r="J410"/>
  <c r="I409"/>
  <c r="J409" s="1"/>
  <c r="I408"/>
  <c r="J408" s="1"/>
  <c r="I407"/>
  <c r="J407" s="1"/>
  <c r="J405"/>
  <c r="J401"/>
  <c r="J400"/>
  <c r="J399"/>
  <c r="J398"/>
  <c r="J397"/>
  <c r="J396"/>
  <c r="J395"/>
  <c r="J389"/>
  <c r="J388"/>
  <c r="I387"/>
  <c r="J387" s="1"/>
  <c r="I386"/>
  <c r="J386" s="1"/>
  <c r="I385"/>
  <c r="J385" s="1"/>
  <c r="J383"/>
  <c r="J379"/>
  <c r="J378"/>
  <c r="J377"/>
  <c r="J376"/>
  <c r="J375"/>
  <c r="J374"/>
  <c r="J373"/>
  <c r="J365"/>
  <c r="J364"/>
  <c r="I363"/>
  <c r="J363" s="1"/>
  <c r="I362"/>
  <c r="J362" s="1"/>
  <c r="I361"/>
  <c r="J361" s="1"/>
  <c r="J359"/>
  <c r="J355"/>
  <c r="J354"/>
  <c r="J353"/>
  <c r="J352"/>
  <c r="J345"/>
  <c r="J344"/>
  <c r="I343"/>
  <c r="J343" s="1"/>
  <c r="I342"/>
  <c r="J342" s="1"/>
  <c r="I341"/>
  <c r="J341" s="1"/>
  <c r="J339"/>
  <c r="J335"/>
  <c r="J334"/>
  <c r="J333"/>
  <c r="J332"/>
  <c r="J331"/>
  <c r="J330"/>
  <c r="J329"/>
  <c r="J322"/>
  <c r="J321"/>
  <c r="I320"/>
  <c r="J320" s="1"/>
  <c r="I319"/>
  <c r="J319" s="1"/>
  <c r="I318"/>
  <c r="J318" s="1"/>
  <c r="J316"/>
  <c r="J312"/>
  <c r="J311"/>
  <c r="J310"/>
  <c r="J309"/>
  <c r="J308"/>
  <c r="J307"/>
  <c r="J306"/>
  <c r="J305"/>
  <c r="J304"/>
  <c r="J295"/>
  <c r="J294"/>
  <c r="I293"/>
  <c r="J293" s="1"/>
  <c r="I292"/>
  <c r="J292" s="1"/>
  <c r="I291"/>
  <c r="J291" s="1"/>
  <c r="J289"/>
  <c r="J285"/>
  <c r="J284"/>
  <c r="J283"/>
  <c r="J282"/>
  <c r="J281"/>
  <c r="J280"/>
  <c r="J279"/>
  <c r="J278"/>
  <c r="J268"/>
  <c r="J267"/>
  <c r="I257"/>
  <c r="J257" s="1"/>
  <c r="I256"/>
  <c r="J256" s="1"/>
  <c r="I255"/>
  <c r="J255" s="1"/>
  <c r="J253"/>
  <c r="U138" i="18"/>
  <c r="U137"/>
  <c r="U136"/>
  <c r="U135"/>
  <c r="U134"/>
  <c r="U133"/>
  <c r="U132"/>
  <c r="U131"/>
  <c r="U130"/>
  <c r="U129"/>
  <c r="U128"/>
  <c r="U127"/>
  <c r="T126"/>
  <c r="U126" s="1"/>
  <c r="U125"/>
  <c r="T125"/>
  <c r="T124"/>
  <c r="U124" s="1"/>
  <c r="U123"/>
  <c r="U122"/>
  <c r="T91"/>
  <c r="T90"/>
  <c r="T89"/>
  <c r="T88"/>
  <c r="T87"/>
  <c r="T86"/>
  <c r="T85"/>
  <c r="T84"/>
  <c r="T83"/>
  <c r="T82"/>
  <c r="T81"/>
  <c r="T80"/>
  <c r="T79"/>
  <c r="S79"/>
  <c r="T78"/>
  <c r="S78"/>
  <c r="T77"/>
  <c r="S77"/>
  <c r="T75"/>
  <c r="T74" s="1"/>
  <c r="T73" s="1"/>
  <c r="I78" i="5"/>
  <c r="I77"/>
  <c r="I76"/>
  <c r="I204"/>
  <c r="I203"/>
  <c r="J570" l="1"/>
  <c r="J296"/>
  <c r="J288"/>
  <c r="J732"/>
  <c r="H94" i="2" s="1"/>
  <c r="J638" i="5"/>
  <c r="J617"/>
  <c r="J594"/>
  <c r="J543"/>
  <c r="J517"/>
  <c r="J390"/>
  <c r="J453"/>
  <c r="J491"/>
  <c r="J472"/>
  <c r="J431"/>
  <c r="J412"/>
  <c r="J366"/>
  <c r="J346"/>
  <c r="J323"/>
  <c r="L324" s="1"/>
  <c r="J269"/>
  <c r="L270" s="1"/>
  <c r="N18"/>
  <c r="K32" i="17"/>
  <c r="J315" i="5"/>
  <c r="J48"/>
  <c r="F9"/>
  <c r="F10"/>
  <c r="K18"/>
  <c r="J724"/>
  <c r="J445"/>
  <c r="J252"/>
  <c r="J509"/>
  <c r="J609"/>
  <c r="J423"/>
  <c r="J483"/>
  <c r="J535"/>
  <c r="J338"/>
  <c r="J562"/>
  <c r="J586"/>
  <c r="J358"/>
  <c r="J404"/>
  <c r="J630"/>
  <c r="J382"/>
  <c r="J464"/>
  <c r="U121" i="18"/>
  <c r="U120" s="1"/>
  <c r="P67"/>
  <c r="P66" s="1"/>
  <c r="T92"/>
  <c r="H87" i="2" l="1"/>
  <c r="H88"/>
  <c r="J534" i="5"/>
  <c r="J287"/>
  <c r="L287" s="1"/>
  <c r="J337"/>
  <c r="J508"/>
  <c r="J251"/>
  <c r="L251" s="1"/>
  <c r="J403"/>
  <c r="J629"/>
  <c r="J561"/>
  <c r="J422"/>
  <c r="J444"/>
  <c r="J482"/>
  <c r="J723"/>
  <c r="H93" i="2"/>
  <c r="H92" s="1"/>
  <c r="K674" i="5"/>
  <c r="J585"/>
  <c r="J314"/>
  <c r="K315" s="1"/>
  <c r="J463"/>
  <c r="J357"/>
  <c r="J608"/>
  <c r="J381"/>
  <c r="Q114" i="18"/>
  <c r="Q115"/>
  <c r="U139"/>
  <c r="I36" i="17" l="1"/>
  <c r="I31" s="1"/>
  <c r="H86" i="2"/>
  <c r="J250" i="5"/>
  <c r="F245" s="1"/>
  <c r="K254"/>
  <c r="K263"/>
  <c r="K258"/>
  <c r="J286"/>
  <c r="F716"/>
  <c r="K726"/>
  <c r="J647"/>
  <c r="K632"/>
  <c r="J628"/>
  <c r="K611"/>
  <c r="J607"/>
  <c r="K588"/>
  <c r="J584"/>
  <c r="K564"/>
  <c r="J560"/>
  <c r="K537"/>
  <c r="J533"/>
  <c r="K511"/>
  <c r="J507"/>
  <c r="K485"/>
  <c r="J481"/>
  <c r="K466"/>
  <c r="J462"/>
  <c r="K447"/>
  <c r="J443"/>
  <c r="K425"/>
  <c r="J421"/>
  <c r="K406"/>
  <c r="J402"/>
  <c r="K384"/>
  <c r="J380"/>
  <c r="K360"/>
  <c r="J356"/>
  <c r="K340"/>
  <c r="J336"/>
  <c r="K317"/>
  <c r="J313"/>
  <c r="K290"/>
  <c r="J742"/>
  <c r="F717"/>
  <c r="F665"/>
  <c r="F664" s="1"/>
  <c r="J36" i="17" l="1"/>
  <c r="J31" s="1"/>
  <c r="F244" i="5"/>
  <c r="J174" l="1"/>
  <c r="J173"/>
  <c r="J172"/>
  <c r="J171"/>
  <c r="J170"/>
  <c r="J169"/>
  <c r="J168"/>
  <c r="J167"/>
  <c r="J166"/>
  <c r="J165"/>
  <c r="J158"/>
  <c r="J157"/>
  <c r="I156"/>
  <c r="J156" s="1"/>
  <c r="I155"/>
  <c r="J155" s="1"/>
  <c r="I154"/>
  <c r="J154" s="1"/>
  <c r="J152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18"/>
  <c r="J117"/>
  <c r="I116"/>
  <c r="J116" s="1"/>
  <c r="I115"/>
  <c r="J115" s="1"/>
  <c r="I114"/>
  <c r="J114" s="1"/>
  <c r="J112"/>
  <c r="J226"/>
  <c r="J225"/>
  <c r="J224"/>
  <c r="J223"/>
  <c r="J221"/>
  <c r="J220"/>
  <c r="J219"/>
  <c r="J218"/>
  <c r="J217"/>
  <c r="J216"/>
  <c r="J215"/>
  <c r="J214"/>
  <c r="J207"/>
  <c r="J206"/>
  <c r="J205"/>
  <c r="J204"/>
  <c r="J203"/>
  <c r="J201"/>
  <c r="T47" i="18"/>
  <c r="T46"/>
  <c r="T45"/>
  <c r="T44"/>
  <c r="T43"/>
  <c r="T42"/>
  <c r="T41"/>
  <c r="T40"/>
  <c r="T39"/>
  <c r="T38"/>
  <c r="T37"/>
  <c r="T36"/>
  <c r="T35"/>
  <c r="T34"/>
  <c r="T33" s="1"/>
  <c r="T32"/>
  <c r="T31"/>
  <c r="T30"/>
  <c r="T29"/>
  <c r="T28"/>
  <c r="T27"/>
  <c r="T26"/>
  <c r="T25"/>
  <c r="T24"/>
  <c r="T23"/>
  <c r="T22"/>
  <c r="T21"/>
  <c r="S21"/>
  <c r="T20"/>
  <c r="S20"/>
  <c r="T19"/>
  <c r="S19"/>
  <c r="T17"/>
  <c r="T16" s="1"/>
  <c r="T15" s="1"/>
  <c r="P9"/>
  <c r="F10"/>
  <c r="J15"/>
  <c r="F9" s="1"/>
  <c r="J432"/>
  <c r="J431"/>
  <c r="J430"/>
  <c r="J429"/>
  <c r="J428"/>
  <c r="J427"/>
  <c r="J426"/>
  <c r="J425"/>
  <c r="J424"/>
  <c r="J423"/>
  <c r="J422"/>
  <c r="J421"/>
  <c r="J420"/>
  <c r="J419"/>
  <c r="J418"/>
  <c r="J417" s="1"/>
  <c r="J416"/>
  <c r="J415"/>
  <c r="J414"/>
  <c r="J413"/>
  <c r="I412"/>
  <c r="J412" s="1"/>
  <c r="I411"/>
  <c r="J411" s="1"/>
  <c r="I410"/>
  <c r="J410" s="1"/>
  <c r="J408"/>
  <c r="J404"/>
  <c r="J403"/>
  <c r="J402"/>
  <c r="J401"/>
  <c r="J399"/>
  <c r="J398"/>
  <c r="J397"/>
  <c r="J396"/>
  <c r="J395"/>
  <c r="J394"/>
  <c r="J393"/>
  <c r="I393"/>
  <c r="I392"/>
  <c r="J392" s="1"/>
  <c r="I391"/>
  <c r="J391" s="1"/>
  <c r="J389"/>
  <c r="J385"/>
  <c r="J384"/>
  <c r="J383"/>
  <c r="J382"/>
  <c r="J381"/>
  <c r="J380"/>
  <c r="J379"/>
  <c r="J378" s="1"/>
  <c r="J377"/>
  <c r="J376"/>
  <c r="J375"/>
  <c r="J374"/>
  <c r="J373"/>
  <c r="J372"/>
  <c r="J371"/>
  <c r="I370"/>
  <c r="J370" s="1"/>
  <c r="I369"/>
  <c r="J369" s="1"/>
  <c r="J368"/>
  <c r="I368"/>
  <c r="J366"/>
  <c r="J362"/>
  <c r="J361"/>
  <c r="J360"/>
  <c r="J359"/>
  <c r="J358"/>
  <c r="J357"/>
  <c r="J356"/>
  <c r="J355"/>
  <c r="J354"/>
  <c r="J353"/>
  <c r="J352"/>
  <c r="J351"/>
  <c r="J350"/>
  <c r="J349"/>
  <c r="J348"/>
  <c r="J347"/>
  <c r="I347"/>
  <c r="I346"/>
  <c r="J346" s="1"/>
  <c r="I345"/>
  <c r="J345" s="1"/>
  <c r="J343"/>
  <c r="J339"/>
  <c r="J338"/>
  <c r="J337"/>
  <c r="J336"/>
  <c r="J335"/>
  <c r="J334"/>
  <c r="J333"/>
  <c r="J331"/>
  <c r="J330"/>
  <c r="J329"/>
  <c r="J328"/>
  <c r="J327"/>
  <c r="J326"/>
  <c r="J325"/>
  <c r="J324"/>
  <c r="J323"/>
  <c r="I323"/>
  <c r="I322"/>
  <c r="J322" s="1"/>
  <c r="I321"/>
  <c r="J321" s="1"/>
  <c r="J319"/>
  <c r="J315"/>
  <c r="J314"/>
  <c r="J313"/>
  <c r="J312"/>
  <c r="J311"/>
  <c r="J310"/>
  <c r="J309"/>
  <c r="J308" s="1"/>
  <c r="J307"/>
  <c r="J306"/>
  <c r="J305"/>
  <c r="J304"/>
  <c r="J303"/>
  <c r="J302"/>
  <c r="J301"/>
  <c r="J300"/>
  <c r="J299"/>
  <c r="J298"/>
  <c r="J297"/>
  <c r="I296"/>
  <c r="J296" s="1"/>
  <c r="I295"/>
  <c r="J295" s="1"/>
  <c r="J294"/>
  <c r="I294"/>
  <c r="J292"/>
  <c r="J288"/>
  <c r="J287"/>
  <c r="J286"/>
  <c r="J285"/>
  <c r="J284"/>
  <c r="J283"/>
  <c r="J282"/>
  <c r="J281"/>
  <c r="J280" s="1"/>
  <c r="J279"/>
  <c r="J278"/>
  <c r="J277"/>
  <c r="J276"/>
  <c r="J275"/>
  <c r="J274"/>
  <c r="J273"/>
  <c r="J272"/>
  <c r="J271"/>
  <c r="I270"/>
  <c r="J270" s="1"/>
  <c r="I269"/>
  <c r="J269" s="1"/>
  <c r="I268"/>
  <c r="J268" s="1"/>
  <c r="J266"/>
  <c r="J262"/>
  <c r="J261"/>
  <c r="J260"/>
  <c r="J259"/>
  <c r="J258"/>
  <c r="J257"/>
  <c r="J256"/>
  <c r="J255"/>
  <c r="J253"/>
  <c r="J252"/>
  <c r="J251"/>
  <c r="J250"/>
  <c r="J249"/>
  <c r="J248"/>
  <c r="J247"/>
  <c r="J246"/>
  <c r="J245"/>
  <c r="I244"/>
  <c r="J244" s="1"/>
  <c r="J243"/>
  <c r="I243"/>
  <c r="I242"/>
  <c r="J242" s="1"/>
  <c r="J240"/>
  <c r="J236"/>
  <c r="J235"/>
  <c r="J234"/>
  <c r="J233"/>
  <c r="J231"/>
  <c r="J230"/>
  <c r="J229"/>
  <c r="J228"/>
  <c r="J227"/>
  <c r="J226"/>
  <c r="I225"/>
  <c r="J225" s="1"/>
  <c r="I224"/>
  <c r="J224" s="1"/>
  <c r="J223"/>
  <c r="I223"/>
  <c r="J221"/>
  <c r="J217"/>
  <c r="J216"/>
  <c r="J215"/>
  <c r="J214"/>
  <c r="J212"/>
  <c r="J211"/>
  <c r="J210"/>
  <c r="J209"/>
  <c r="J208"/>
  <c r="J207"/>
  <c r="I206"/>
  <c r="J206" s="1"/>
  <c r="J205"/>
  <c r="I205"/>
  <c r="I204"/>
  <c r="J204" s="1"/>
  <c r="J202"/>
  <c r="J198"/>
  <c r="J197"/>
  <c r="J196"/>
  <c r="J195"/>
  <c r="J194"/>
  <c r="J193"/>
  <c r="J192"/>
  <c r="J191" s="1"/>
  <c r="J190"/>
  <c r="J189"/>
  <c r="J188"/>
  <c r="J187"/>
  <c r="J186"/>
  <c r="J185"/>
  <c r="I184"/>
  <c r="J184" s="1"/>
  <c r="J183"/>
  <c r="I183"/>
  <c r="I182"/>
  <c r="J182" s="1"/>
  <c r="J180"/>
  <c r="J176"/>
  <c r="J175"/>
  <c r="J174"/>
  <c r="J173"/>
  <c r="J171"/>
  <c r="J170"/>
  <c r="J169"/>
  <c r="J168"/>
  <c r="J167"/>
  <c r="J166"/>
  <c r="I165"/>
  <c r="J165" s="1"/>
  <c r="I164"/>
  <c r="J164" s="1"/>
  <c r="J163"/>
  <c r="I163"/>
  <c r="J161"/>
  <c r="J157"/>
  <c r="J156"/>
  <c r="J155"/>
  <c r="J154"/>
  <c r="J153"/>
  <c r="J152"/>
  <c r="J151"/>
  <c r="J149"/>
  <c r="J148"/>
  <c r="J147"/>
  <c r="J146"/>
  <c r="J145"/>
  <c r="J144"/>
  <c r="J143"/>
  <c r="I143"/>
  <c r="J142"/>
  <c r="I142"/>
  <c r="J141"/>
  <c r="I141"/>
  <c r="J139"/>
  <c r="J135"/>
  <c r="J134"/>
  <c r="J133"/>
  <c r="J132"/>
  <c r="J131"/>
  <c r="J130"/>
  <c r="J129"/>
  <c r="J127"/>
  <c r="J126"/>
  <c r="J125"/>
  <c r="J124"/>
  <c r="J123"/>
  <c r="J122"/>
  <c r="J121"/>
  <c r="J120"/>
  <c r="J119"/>
  <c r="I119"/>
  <c r="J118"/>
  <c r="I118"/>
  <c r="J117"/>
  <c r="I117"/>
  <c r="J115"/>
  <c r="J111"/>
  <c r="J110"/>
  <c r="J109"/>
  <c r="J108"/>
  <c r="J106"/>
  <c r="J105"/>
  <c r="J104"/>
  <c r="J103"/>
  <c r="J102"/>
  <c r="J101"/>
  <c r="J100"/>
  <c r="J99"/>
  <c r="I99"/>
  <c r="J98"/>
  <c r="I98"/>
  <c r="J97"/>
  <c r="I97"/>
  <c r="J95"/>
  <c r="J91"/>
  <c r="J90"/>
  <c r="J89"/>
  <c r="J88"/>
  <c r="J87"/>
  <c r="J86"/>
  <c r="J85"/>
  <c r="J83"/>
  <c r="J82"/>
  <c r="J81"/>
  <c r="J80"/>
  <c r="J79"/>
  <c r="J78"/>
  <c r="J77"/>
  <c r="I76"/>
  <c r="J76" s="1"/>
  <c r="J75"/>
  <c r="I75"/>
  <c r="I74"/>
  <c r="J74" s="1"/>
  <c r="J72"/>
  <c r="J68"/>
  <c r="J67"/>
  <c r="J66"/>
  <c r="J65"/>
  <c r="J64"/>
  <c r="J63"/>
  <c r="J62"/>
  <c r="J61"/>
  <c r="J60"/>
  <c r="J58"/>
  <c r="J57"/>
  <c r="J56"/>
  <c r="J55"/>
  <c r="J54"/>
  <c r="J53"/>
  <c r="J52"/>
  <c r="J51"/>
  <c r="J50"/>
  <c r="J49"/>
  <c r="I49"/>
  <c r="J48"/>
  <c r="I48"/>
  <c r="J47"/>
  <c r="I47"/>
  <c r="J45"/>
  <c r="J41"/>
  <c r="J40"/>
  <c r="J39"/>
  <c r="J38"/>
  <c r="J37"/>
  <c r="J36"/>
  <c r="J35"/>
  <c r="J34"/>
  <c r="J32"/>
  <c r="J31"/>
  <c r="J30"/>
  <c r="J29"/>
  <c r="J28"/>
  <c r="J27"/>
  <c r="J26"/>
  <c r="J25"/>
  <c r="J24"/>
  <c r="J23"/>
  <c r="I22"/>
  <c r="J22" s="1"/>
  <c r="J21"/>
  <c r="I21"/>
  <c r="I20"/>
  <c r="J20" s="1"/>
  <c r="J18"/>
  <c r="J208" i="5" l="1"/>
  <c r="H85" i="2" s="1"/>
  <c r="J159" i="5"/>
  <c r="J119"/>
  <c r="J200"/>
  <c r="H84" i="2" s="1"/>
  <c r="J151" i="5"/>
  <c r="J111"/>
  <c r="T49" i="18"/>
  <c r="P10"/>
  <c r="J33"/>
  <c r="J16" s="1"/>
  <c r="J59"/>
  <c r="J94"/>
  <c r="J138"/>
  <c r="J213"/>
  <c r="J318"/>
  <c r="J172"/>
  <c r="J232"/>
  <c r="J332"/>
  <c r="J317" s="1"/>
  <c r="J340" s="1"/>
  <c r="J17"/>
  <c r="J107"/>
  <c r="J93" s="1"/>
  <c r="J112" s="1"/>
  <c r="J114"/>
  <c r="J254"/>
  <c r="J365"/>
  <c r="J364" s="1"/>
  <c r="J386" s="1"/>
  <c r="J44"/>
  <c r="J407"/>
  <c r="J406" s="1"/>
  <c r="J433" s="1"/>
  <c r="J201"/>
  <c r="J342"/>
  <c r="J341" s="1"/>
  <c r="J363" s="1"/>
  <c r="J84"/>
  <c r="J128"/>
  <c r="J150"/>
  <c r="J137" s="1"/>
  <c r="J158" s="1"/>
  <c r="J400"/>
  <c r="J388"/>
  <c r="J291"/>
  <c r="J290" s="1"/>
  <c r="J316" s="1"/>
  <c r="J265"/>
  <c r="J264" s="1"/>
  <c r="J289" s="1"/>
  <c r="J239"/>
  <c r="J220"/>
  <c r="J219" s="1"/>
  <c r="J237" s="1"/>
  <c r="J179"/>
  <c r="J178" s="1"/>
  <c r="J199" s="1"/>
  <c r="J160"/>
  <c r="J159" s="1"/>
  <c r="J177" s="1"/>
  <c r="J71"/>
  <c r="H81" i="2" l="1"/>
  <c r="H82"/>
  <c r="H83"/>
  <c r="J150" i="5"/>
  <c r="J199"/>
  <c r="K202" s="1"/>
  <c r="L204" s="1"/>
  <c r="J110"/>
  <c r="K113" s="1"/>
  <c r="J200" i="18"/>
  <c r="J218" s="1"/>
  <c r="J70"/>
  <c r="J92" s="1"/>
  <c r="J43"/>
  <c r="J69" s="1"/>
  <c r="J238"/>
  <c r="J263" s="1"/>
  <c r="J387"/>
  <c r="J405" s="1"/>
  <c r="J113"/>
  <c r="J136" s="1"/>
  <c r="J42"/>
  <c r="H80" i="2" l="1"/>
  <c r="G34" i="17" s="1"/>
  <c r="K34" s="1"/>
  <c r="J175" i="5"/>
  <c r="K153"/>
  <c r="L153" s="1"/>
  <c r="J109"/>
  <c r="J198"/>
  <c r="J227"/>
  <c r="F193"/>
  <c r="J149"/>
  <c r="F192" l="1"/>
  <c r="L198"/>
  <c r="L199" s="1"/>
  <c r="F103"/>
  <c r="F104"/>
  <c r="H156" i="2" l="1"/>
  <c r="L79" i="5"/>
  <c r="H155" i="2" l="1"/>
  <c r="H154" s="1"/>
  <c r="G60" i="17" s="1"/>
  <c r="K60" s="1"/>
  <c r="L420" i="5"/>
  <c r="P403" l="1"/>
  <c r="U403" s="1"/>
  <c r="G38" i="17" l="1"/>
  <c r="K38" s="1"/>
  <c r="M426" i="5" l="1"/>
  <c r="M427"/>
  <c r="M428"/>
  <c r="M425"/>
  <c r="O405"/>
  <c r="M429" l="1"/>
  <c r="N626" l="1"/>
  <c r="N625"/>
  <c r="L538" l="1"/>
  <c r="L542"/>
  <c r="M377" l="1"/>
  <c r="O377" s="1"/>
  <c r="H404" i="7" l="1"/>
  <c r="H405"/>
  <c r="H406"/>
  <c r="H407"/>
  <c r="H408"/>
  <c r="H409"/>
  <c r="H410"/>
  <c r="G403"/>
  <c r="G402"/>
  <c r="G401"/>
  <c r="H365"/>
  <c r="H366"/>
  <c r="H367"/>
  <c r="H368"/>
  <c r="H369"/>
  <c r="H370"/>
  <c r="H371"/>
  <c r="G364"/>
  <c r="G363"/>
  <c r="G362"/>
  <c r="H326"/>
  <c r="H327"/>
  <c r="H328"/>
  <c r="H329"/>
  <c r="H330"/>
  <c r="H331"/>
  <c r="H332"/>
  <c r="G325"/>
  <c r="G324"/>
  <c r="G323"/>
  <c r="H295"/>
  <c r="H294"/>
  <c r="H286"/>
  <c r="H287"/>
  <c r="H288"/>
  <c r="H289"/>
  <c r="H290"/>
  <c r="H291"/>
  <c r="H292"/>
  <c r="G285"/>
  <c r="G284"/>
  <c r="G283"/>
  <c r="H254"/>
  <c r="H255"/>
  <c r="H253"/>
  <c r="H244"/>
  <c r="H245"/>
  <c r="H246"/>
  <c r="H247"/>
  <c r="H248"/>
  <c r="H249"/>
  <c r="H250"/>
  <c r="H251"/>
  <c r="G243"/>
  <c r="G242"/>
  <c r="G241"/>
  <c r="H211"/>
  <c r="H203"/>
  <c r="H204"/>
  <c r="H205"/>
  <c r="H206"/>
  <c r="H207"/>
  <c r="H208"/>
  <c r="H209"/>
  <c r="G202"/>
  <c r="G201"/>
  <c r="G200"/>
  <c r="H164"/>
  <c r="H165"/>
  <c r="H166"/>
  <c r="H167"/>
  <c r="H168"/>
  <c r="H169"/>
  <c r="H170"/>
  <c r="G163"/>
  <c r="G162"/>
  <c r="G161"/>
  <c r="G125"/>
  <c r="H126"/>
  <c r="H127"/>
  <c r="H128"/>
  <c r="H129"/>
  <c r="H130"/>
  <c r="H131"/>
  <c r="H132"/>
  <c r="G124"/>
  <c r="G123"/>
  <c r="H88"/>
  <c r="H89"/>
  <c r="H90"/>
  <c r="H91"/>
  <c r="H92"/>
  <c r="H93"/>
  <c r="H94"/>
  <c r="G87"/>
  <c r="G86"/>
  <c r="G85"/>
  <c r="H21"/>
  <c r="H22"/>
  <c r="H23"/>
  <c r="H24"/>
  <c r="H25"/>
  <c r="H26"/>
  <c r="H27"/>
  <c r="G20"/>
  <c r="G19"/>
  <c r="G18"/>
  <c r="H280" i="6"/>
  <c r="H281"/>
  <c r="H282"/>
  <c r="H283"/>
  <c r="H284"/>
  <c r="H285"/>
  <c r="G279"/>
  <c r="G278"/>
  <c r="G277"/>
  <c r="H239"/>
  <c r="H240"/>
  <c r="H241"/>
  <c r="H242"/>
  <c r="H243"/>
  <c r="H244"/>
  <c r="H245"/>
  <c r="G238"/>
  <c r="G237"/>
  <c r="G236"/>
  <c r="G191"/>
  <c r="H194"/>
  <c r="H195"/>
  <c r="H196"/>
  <c r="H197"/>
  <c r="H198"/>
  <c r="H199"/>
  <c r="H200"/>
  <c r="G193"/>
  <c r="G192"/>
  <c r="H154"/>
  <c r="H155"/>
  <c r="H156"/>
  <c r="H157"/>
  <c r="H158"/>
  <c r="H159"/>
  <c r="H160"/>
  <c r="G153"/>
  <c r="G152"/>
  <c r="G151"/>
  <c r="H109"/>
  <c r="H110"/>
  <c r="H111"/>
  <c r="H112"/>
  <c r="H113"/>
  <c r="H114"/>
  <c r="H115"/>
  <c r="H116"/>
  <c r="G108"/>
  <c r="G107"/>
  <c r="G106"/>
  <c r="H77"/>
  <c r="H65"/>
  <c r="H66"/>
  <c r="H67"/>
  <c r="H68"/>
  <c r="H69"/>
  <c r="H70"/>
  <c r="H71"/>
  <c r="H72"/>
  <c r="H73"/>
  <c r="H74"/>
  <c r="H75"/>
  <c r="G64"/>
  <c r="G63"/>
  <c r="G62"/>
  <c r="H23"/>
  <c r="H24"/>
  <c r="H25"/>
  <c r="H26"/>
  <c r="H27"/>
  <c r="H28"/>
  <c r="H29"/>
  <c r="H30"/>
  <c r="H31"/>
  <c r="H32"/>
  <c r="H33"/>
  <c r="G22"/>
  <c r="G21"/>
  <c r="G20"/>
  <c r="L741" i="5"/>
  <c r="J82"/>
  <c r="J83"/>
  <c r="J81"/>
  <c r="J79"/>
  <c r="J78"/>
  <c r="J77"/>
  <c r="J74"/>
  <c r="J140" i="3"/>
  <c r="K54" i="13"/>
  <c r="J46" i="3"/>
  <c r="F62" i="13"/>
  <c r="F61"/>
  <c r="F63" s="1"/>
  <c r="F59"/>
  <c r="F58"/>
  <c r="F60" s="1"/>
  <c r="F57"/>
  <c r="F56"/>
  <c r="F55"/>
  <c r="M184" i="3" l="1"/>
  <c r="E19" i="13"/>
  <c r="G42" i="9"/>
  <c r="F42"/>
  <c r="E42"/>
  <c r="G44"/>
  <c r="H44" s="1"/>
  <c r="I44" s="1"/>
  <c r="G45"/>
  <c r="H45" s="1"/>
  <c r="I45" s="1"/>
  <c r="G46"/>
  <c r="H46" s="1"/>
  <c r="I46" s="1"/>
  <c r="G47"/>
  <c r="G48"/>
  <c r="H48" s="1"/>
  <c r="I48" s="1"/>
  <c r="G49"/>
  <c r="H49" s="1"/>
  <c r="I49" s="1"/>
  <c r="G50"/>
  <c r="H50" s="1"/>
  <c r="I50" s="1"/>
  <c r="G51"/>
  <c r="G43"/>
  <c r="H43"/>
  <c r="I43" s="1"/>
  <c r="H47"/>
  <c r="I47" s="1"/>
  <c r="H51"/>
  <c r="I51" s="1"/>
  <c r="I45" i="13"/>
  <c r="I42"/>
  <c r="H41"/>
  <c r="H54" s="1"/>
  <c r="I16" i="17" s="1"/>
  <c r="J16" s="1"/>
  <c r="D41" i="13"/>
  <c r="F21" i="9"/>
  <c r="F13"/>
  <c r="G14"/>
  <c r="H35" i="2"/>
  <c r="H40"/>
  <c r="H38" s="1"/>
  <c r="H32"/>
  <c r="H14"/>
  <c r="H22"/>
  <c r="L73" i="3"/>
  <c r="L75" s="1"/>
  <c r="L184"/>
  <c r="J153"/>
  <c r="J113"/>
  <c r="J152"/>
  <c r="J186"/>
  <c r="J185" s="1"/>
  <c r="J151"/>
  <c r="J150"/>
  <c r="M47"/>
  <c r="M45"/>
  <c r="I70"/>
  <c r="I20"/>
  <c r="D44" i="13" s="1"/>
  <c r="I22" i="3"/>
  <c r="D48" i="13" s="1"/>
  <c r="I19" i="3"/>
  <c r="G16" i="9" s="1"/>
  <c r="I18" i="3"/>
  <c r="G15" i="9" s="1"/>
  <c r="G288" i="6"/>
  <c r="H279"/>
  <c r="H278"/>
  <c r="H277"/>
  <c r="G163"/>
  <c r="H153"/>
  <c r="H152"/>
  <c r="H151"/>
  <c r="H112" i="2"/>
  <c r="G46" i="17" s="1"/>
  <c r="K46" s="1"/>
  <c r="L123"/>
  <c r="L124"/>
  <c r="M124" s="1"/>
  <c r="L125"/>
  <c r="L126"/>
  <c r="M122"/>
  <c r="M17"/>
  <c r="J27"/>
  <c r="J29"/>
  <c r="J30"/>
  <c r="J43"/>
  <c r="J39" s="1"/>
  <c r="J26"/>
  <c r="J23"/>
  <c r="J24"/>
  <c r="H8"/>
  <c r="H67" s="1"/>
  <c r="J22"/>
  <c r="J20"/>
  <c r="J15"/>
  <c r="J13"/>
  <c r="J12"/>
  <c r="I54" i="13" l="1"/>
  <c r="I18" i="17" s="1"/>
  <c r="J18" s="1"/>
  <c r="J25"/>
  <c r="D47" i="13"/>
  <c r="G17" i="9"/>
  <c r="D46" i="13"/>
  <c r="D43"/>
  <c r="D42"/>
  <c r="G19" i="9"/>
  <c r="H42"/>
  <c r="I42" s="1"/>
  <c r="J149" i="3"/>
  <c r="H275" i="6"/>
  <c r="H149"/>
  <c r="H59" i="2" l="1"/>
  <c r="G21" i="17" s="1"/>
  <c r="I21"/>
  <c r="J275" i="6"/>
  <c r="H273"/>
  <c r="F267" s="1"/>
  <c r="H147"/>
  <c r="I19" i="17" l="1"/>
  <c r="J21"/>
  <c r="J19" s="1"/>
  <c r="H163" i="6"/>
  <c r="I150"/>
  <c r="F141"/>
  <c r="H288"/>
  <c r="J114" i="12" l="1"/>
  <c r="K114" s="1"/>
  <c r="J109"/>
  <c r="K109" s="1"/>
  <c r="J113"/>
  <c r="K113" s="1"/>
  <c r="O106"/>
  <c r="J103"/>
  <c r="J104"/>
  <c r="J105"/>
  <c r="J106"/>
  <c r="J107"/>
  <c r="M116"/>
  <c r="L116"/>
  <c r="J112"/>
  <c r="K112" s="1"/>
  <c r="J111"/>
  <c r="J110"/>
  <c r="K110" s="1"/>
  <c r="K107"/>
  <c r="K106"/>
  <c r="K105"/>
  <c r="K104"/>
  <c r="K103"/>
  <c r="J102"/>
  <c r="K102" s="1"/>
  <c r="J57" i="14"/>
  <c r="G53"/>
  <c r="I64" i="15"/>
  <c r="I87" s="1"/>
  <c r="F91" i="9"/>
  <c r="F79"/>
  <c r="F98" s="1"/>
  <c r="H90"/>
  <c r="H89"/>
  <c r="H88"/>
  <c r="H83"/>
  <c r="H84"/>
  <c r="H85"/>
  <c r="H86"/>
  <c r="H87"/>
  <c r="H82"/>
  <c r="G81"/>
  <c r="G79" s="1"/>
  <c r="G98" s="1"/>
  <c r="G91"/>
  <c r="H93"/>
  <c r="H94"/>
  <c r="H95"/>
  <c r="H96"/>
  <c r="H97"/>
  <c r="H92"/>
  <c r="H80"/>
  <c r="H15"/>
  <c r="H16"/>
  <c r="H17"/>
  <c r="H19"/>
  <c r="H91" l="1"/>
  <c r="K108" i="12"/>
  <c r="O108" s="1"/>
  <c r="K111"/>
  <c r="K116" s="1"/>
  <c r="G61" i="14"/>
  <c r="G70" s="1"/>
  <c r="I70" s="1"/>
  <c r="H81" i="9"/>
  <c r="F45" i="15"/>
  <c r="F46"/>
  <c r="F53"/>
  <c r="F52"/>
  <c r="F51"/>
  <c r="F50"/>
  <c r="I9" i="16"/>
  <c r="F14"/>
  <c r="F13"/>
  <c r="F19"/>
  <c r="F18"/>
  <c r="F16" i="15"/>
  <c r="F15"/>
  <c r="F14"/>
  <c r="K28" i="2"/>
  <c r="J195" i="6"/>
  <c r="J244"/>
  <c r="K244" s="1"/>
  <c r="H210" i="7"/>
  <c r="H126" i="2" s="1"/>
  <c r="D12" i="13"/>
  <c r="C6"/>
  <c r="J245" i="6"/>
  <c r="G248"/>
  <c r="H238"/>
  <c r="H237"/>
  <c r="H236"/>
  <c r="D11" i="13" l="1"/>
  <c r="D13" s="1"/>
  <c r="D15"/>
  <c r="T15" i="15"/>
  <c r="H79" i="9"/>
  <c r="H98" s="1"/>
  <c r="H169" i="2"/>
  <c r="H234" i="6"/>
  <c r="D17" i="13" l="1"/>
  <c r="F17" s="1"/>
  <c r="D18"/>
  <c r="F18" s="1"/>
  <c r="D19"/>
  <c r="F19" s="1"/>
  <c r="D16"/>
  <c r="F16" s="1"/>
  <c r="H40" i="15"/>
  <c r="H232" i="6"/>
  <c r="H411" i="7"/>
  <c r="H141" i="2" s="1"/>
  <c r="H403" i="7"/>
  <c r="H402"/>
  <c r="H401"/>
  <c r="H107" i="2"/>
  <c r="H105" s="1"/>
  <c r="G203" i="6"/>
  <c r="H193"/>
  <c r="H192"/>
  <c r="H191"/>
  <c r="H104" i="2"/>
  <c r="H102" s="1"/>
  <c r="J117" i="6"/>
  <c r="H108"/>
  <c r="H107"/>
  <c r="H106"/>
  <c r="N741" i="5"/>
  <c r="L737"/>
  <c r="L683"/>
  <c r="N685" s="1"/>
  <c r="P685" s="1"/>
  <c r="L681"/>
  <c r="N681" s="1"/>
  <c r="F226" i="6" l="1"/>
  <c r="I235"/>
  <c r="H104"/>
  <c r="H248"/>
  <c r="H399" i="7"/>
  <c r="H398" s="1"/>
  <c r="H252"/>
  <c r="H129" i="2" s="1"/>
  <c r="H189" i="6"/>
  <c r="O738" i="5"/>
  <c r="Q738" s="1"/>
  <c r="O737"/>
  <c r="N683"/>
  <c r="P683" s="1"/>
  <c r="K21" i="17" l="1"/>
  <c r="G35"/>
  <c r="K35" s="1"/>
  <c r="F392" i="7"/>
  <c r="J400"/>
  <c r="H187" i="6"/>
  <c r="F182" s="1"/>
  <c r="J190"/>
  <c r="H103"/>
  <c r="H413" i="7"/>
  <c r="H140" i="2"/>
  <c r="H118" i="6" l="1"/>
  <c r="I105"/>
  <c r="G42" i="17"/>
  <c r="K42" s="1"/>
  <c r="F97" i="6"/>
  <c r="L749" i="5"/>
  <c r="H203" i="6"/>
  <c r="L672" i="5"/>
  <c r="L747" l="1"/>
  <c r="M747" s="1"/>
  <c r="L670"/>
  <c r="M670" s="1"/>
  <c r="O374"/>
  <c r="O366"/>
  <c r="Q366" s="1"/>
  <c r="L321"/>
  <c r="N321" s="1"/>
  <c r="L322"/>
  <c r="E90" i="9"/>
  <c r="I90" s="1"/>
  <c r="E89"/>
  <c r="I89" s="1"/>
  <c r="E88"/>
  <c r="I88" s="1"/>
  <c r="E87"/>
  <c r="I87" s="1"/>
  <c r="E86"/>
  <c r="I86" s="1"/>
  <c r="E85"/>
  <c r="I85" s="1"/>
  <c r="E84"/>
  <c r="I84" s="1"/>
  <c r="E83"/>
  <c r="I83" s="1"/>
  <c r="E97"/>
  <c r="I97" s="1"/>
  <c r="J119" i="3"/>
  <c r="J148"/>
  <c r="J147" s="1"/>
  <c r="L83" i="5"/>
  <c r="J76"/>
  <c r="I30" i="8"/>
  <c r="I29"/>
  <c r="I27"/>
  <c r="I26"/>
  <c r="I25"/>
  <c r="I24"/>
  <c r="H23"/>
  <c r="I23" s="1"/>
  <c r="I22"/>
  <c r="H22"/>
  <c r="I21"/>
  <c r="H21"/>
  <c r="H20"/>
  <c r="I20" s="1"/>
  <c r="H19"/>
  <c r="I19" s="1"/>
  <c r="H18"/>
  <c r="I18" s="1"/>
  <c r="H165" i="2"/>
  <c r="H162"/>
  <c r="H159"/>
  <c r="H147"/>
  <c r="H144"/>
  <c r="H372" i="7"/>
  <c r="H138" i="2" s="1"/>
  <c r="H364" i="7"/>
  <c r="H363"/>
  <c r="H362"/>
  <c r="H333"/>
  <c r="H135" i="2" s="1"/>
  <c r="H325" i="7"/>
  <c r="H324"/>
  <c r="H323"/>
  <c r="H293"/>
  <c r="H132" i="2" s="1"/>
  <c r="H285" i="7"/>
  <c r="H284"/>
  <c r="H283"/>
  <c r="H243"/>
  <c r="H242"/>
  <c r="H241"/>
  <c r="H202"/>
  <c r="H201"/>
  <c r="H200"/>
  <c r="H171"/>
  <c r="H163"/>
  <c r="H162"/>
  <c r="H161"/>
  <c r="H133"/>
  <c r="H125"/>
  <c r="H124"/>
  <c r="H123"/>
  <c r="H95"/>
  <c r="H117" i="2" s="1"/>
  <c r="H87" i="7"/>
  <c r="H86"/>
  <c r="H85"/>
  <c r="H28"/>
  <c r="H111" i="2" s="1"/>
  <c r="H20" i="7"/>
  <c r="H19"/>
  <c r="H18"/>
  <c r="H76" i="6"/>
  <c r="H101" i="2" s="1"/>
  <c r="D59" i="6"/>
  <c r="D58"/>
  <c r="H64"/>
  <c r="H63"/>
  <c r="H62"/>
  <c r="H34"/>
  <c r="H22"/>
  <c r="H21"/>
  <c r="H20"/>
  <c r="L12" i="3"/>
  <c r="L13" s="1"/>
  <c r="J17"/>
  <c r="J18"/>
  <c r="J19"/>
  <c r="J20"/>
  <c r="I21"/>
  <c r="J22"/>
  <c r="I23"/>
  <c r="J25"/>
  <c r="I26"/>
  <c r="J26" s="1"/>
  <c r="I27"/>
  <c r="J27" s="1"/>
  <c r="I28"/>
  <c r="J28" s="1"/>
  <c r="I29"/>
  <c r="J29" s="1"/>
  <c r="I30"/>
  <c r="J30" s="1"/>
  <c r="J32"/>
  <c r="J33"/>
  <c r="J34"/>
  <c r="J35"/>
  <c r="J36"/>
  <c r="J37"/>
  <c r="J40"/>
  <c r="J41"/>
  <c r="J42"/>
  <c r="J43"/>
  <c r="J45"/>
  <c r="J47"/>
  <c r="J71"/>
  <c r="J72"/>
  <c r="J73"/>
  <c r="J74"/>
  <c r="J75"/>
  <c r="J76"/>
  <c r="J108"/>
  <c r="M108"/>
  <c r="J109"/>
  <c r="J110"/>
  <c r="J111"/>
  <c r="J112"/>
  <c r="J116"/>
  <c r="J117"/>
  <c r="J120"/>
  <c r="J123"/>
  <c r="J124"/>
  <c r="J126"/>
  <c r="J127"/>
  <c r="J129"/>
  <c r="J130"/>
  <c r="J131"/>
  <c r="J133"/>
  <c r="J134"/>
  <c r="J135"/>
  <c r="J136"/>
  <c r="J137"/>
  <c r="J139"/>
  <c r="J138" s="1"/>
  <c r="J142"/>
  <c r="J143"/>
  <c r="J144"/>
  <c r="J146"/>
  <c r="J145" s="1"/>
  <c r="M147"/>
  <c r="J183"/>
  <c r="J184"/>
  <c r="J218"/>
  <c r="E93" i="9"/>
  <c r="I93" s="1"/>
  <c r="E94"/>
  <c r="I94" s="1"/>
  <c r="E95"/>
  <c r="I95" s="1"/>
  <c r="E96"/>
  <c r="I96" s="1"/>
  <c r="E92"/>
  <c r="E80"/>
  <c r="I80" s="1"/>
  <c r="J107" i="3" l="1"/>
  <c r="H149" i="2"/>
  <c r="J23" i="3"/>
  <c r="I66" s="1"/>
  <c r="D49" i="13"/>
  <c r="G20" i="9"/>
  <c r="H20" s="1"/>
  <c r="I59" i="3"/>
  <c r="J59" s="1"/>
  <c r="E32" i="9" s="1"/>
  <c r="I51" i="3"/>
  <c r="E16" i="9"/>
  <c r="I16" s="1"/>
  <c r="I60" i="3"/>
  <c r="J60" s="1"/>
  <c r="E33" i="9" s="1"/>
  <c r="I52" i="3"/>
  <c r="E17" i="9"/>
  <c r="I17" s="1"/>
  <c r="J21" i="3"/>
  <c r="E18" i="9" s="1"/>
  <c r="D45" i="13"/>
  <c r="G18" i="9"/>
  <c r="I49" i="3"/>
  <c r="E14" i="9"/>
  <c r="I62" i="3"/>
  <c r="J62" s="1"/>
  <c r="E35" i="9" s="1"/>
  <c r="I54" i="3"/>
  <c r="I55"/>
  <c r="I53"/>
  <c r="E19" i="9"/>
  <c r="I19" s="1"/>
  <c r="I58" i="3"/>
  <c r="J58" s="1"/>
  <c r="E31" i="9" s="1"/>
  <c r="I50" i="3"/>
  <c r="E15" i="9"/>
  <c r="I15" s="1"/>
  <c r="E82"/>
  <c r="I82" s="1"/>
  <c r="H150" i="2"/>
  <c r="H168"/>
  <c r="H16" i="7"/>
  <c r="I92" i="9"/>
  <c r="I91" s="1"/>
  <c r="E91"/>
  <c r="J31" i="3"/>
  <c r="L32"/>
  <c r="I57"/>
  <c r="I61"/>
  <c r="I63"/>
  <c r="H158" i="2"/>
  <c r="H83" i="7"/>
  <c r="H121"/>
  <c r="H281"/>
  <c r="H321"/>
  <c r="H360"/>
  <c r="H239"/>
  <c r="H198"/>
  <c r="H159"/>
  <c r="J125" i="3"/>
  <c r="J219"/>
  <c r="J182"/>
  <c r="J181" s="1"/>
  <c r="J180" s="1"/>
  <c r="J141"/>
  <c r="J132"/>
  <c r="J115"/>
  <c r="J70"/>
  <c r="J39"/>
  <c r="J217"/>
  <c r="J128"/>
  <c r="J122"/>
  <c r="J118"/>
  <c r="J44"/>
  <c r="I16" i="8"/>
  <c r="I15" s="1"/>
  <c r="F9" s="1"/>
  <c r="H18" i="6"/>
  <c r="H60"/>
  <c r="H62" i="2"/>
  <c r="G24" i="17" s="1"/>
  <c r="L45" i="13" l="1"/>
  <c r="J16" i="3"/>
  <c r="F51" i="13"/>
  <c r="G39" i="9"/>
  <c r="H39" s="1"/>
  <c r="F46" i="13"/>
  <c r="G34" i="9"/>
  <c r="H34" s="1"/>
  <c r="G23"/>
  <c r="H23" s="1"/>
  <c r="E42" i="13"/>
  <c r="E47"/>
  <c r="G28" i="9"/>
  <c r="H28" s="1"/>
  <c r="E41" i="13"/>
  <c r="G22" i="9"/>
  <c r="G24"/>
  <c r="H24" s="1"/>
  <c r="E43" i="13"/>
  <c r="I68" i="3"/>
  <c r="I56"/>
  <c r="E20" i="9"/>
  <c r="I20" s="1"/>
  <c r="F48" i="13"/>
  <c r="G35" i="9"/>
  <c r="H35" s="1"/>
  <c r="I35" s="1"/>
  <c r="F44" i="13"/>
  <c r="G33" i="9"/>
  <c r="H33" s="1"/>
  <c r="I33" s="1"/>
  <c r="J55" i="3"/>
  <c r="E28" i="9" s="1"/>
  <c r="I65" i="3"/>
  <c r="G38" i="9" s="1"/>
  <c r="H38" s="1"/>
  <c r="G36"/>
  <c r="H36" s="1"/>
  <c r="F47" i="13"/>
  <c r="E46"/>
  <c r="G26" i="9"/>
  <c r="H26" s="1"/>
  <c r="D53" i="13"/>
  <c r="D51"/>
  <c r="D52"/>
  <c r="D50"/>
  <c r="F41"/>
  <c r="G30" i="9"/>
  <c r="H30" s="1"/>
  <c r="G31"/>
  <c r="H31" s="1"/>
  <c r="I31" s="1"/>
  <c r="F42" i="13"/>
  <c r="G27" i="9"/>
  <c r="H27" s="1"/>
  <c r="E48" i="13"/>
  <c r="G13" i="9"/>
  <c r="H18"/>
  <c r="I18" s="1"/>
  <c r="G25"/>
  <c r="H25" s="1"/>
  <c r="E44" i="13"/>
  <c r="G32" i="9"/>
  <c r="H32" s="1"/>
  <c r="I32" s="1"/>
  <c r="F43" i="13"/>
  <c r="J49" i="3"/>
  <c r="E22" i="9" s="1"/>
  <c r="I64" i="3"/>
  <c r="J64" s="1"/>
  <c r="E37" i="9" s="1"/>
  <c r="I67" i="3"/>
  <c r="G40" i="9" s="1"/>
  <c r="H40" s="1"/>
  <c r="H119" i="2"/>
  <c r="E81" i="9"/>
  <c r="I81" s="1"/>
  <c r="I79" s="1"/>
  <c r="I98" s="1"/>
  <c r="H148" i="2"/>
  <c r="G58" i="17" s="1"/>
  <c r="K58" s="1"/>
  <c r="H161" i="2"/>
  <c r="H160" s="1"/>
  <c r="G62" i="17" s="1"/>
  <c r="K62" s="1"/>
  <c r="H125" i="2"/>
  <c r="H120" i="7"/>
  <c r="J84" i="5"/>
  <c r="H79" i="2" s="1"/>
  <c r="J187" i="3"/>
  <c r="E175"/>
  <c r="J51"/>
  <c r="E24" i="9" s="1"/>
  <c r="H97" i="2"/>
  <c r="J52" i="3"/>
  <c r="E25" i="9" s="1"/>
  <c r="J53" i="3"/>
  <c r="E26" i="9" s="1"/>
  <c r="J50" i="3"/>
  <c r="E23" i="9" s="1"/>
  <c r="J61" i="3"/>
  <c r="E34" i="9" s="1"/>
  <c r="J54" i="3"/>
  <c r="E27" i="9" s="1"/>
  <c r="J66" i="3"/>
  <c r="E39" i="9" s="1"/>
  <c r="J63" i="3"/>
  <c r="E36" i="9" s="1"/>
  <c r="J57" i="3"/>
  <c r="E30" i="9" s="1"/>
  <c r="H143" i="2"/>
  <c r="H158" i="7"/>
  <c r="H197"/>
  <c r="H128" i="2"/>
  <c r="H127" s="1"/>
  <c r="G51" i="17" s="1"/>
  <c r="K51" s="1"/>
  <c r="H238" i="7"/>
  <c r="H164" i="2"/>
  <c r="H146"/>
  <c r="H320" i="7"/>
  <c r="I322" s="1"/>
  <c r="H134" i="2"/>
  <c r="H359" i="7"/>
  <c r="H137" i="2"/>
  <c r="H280" i="7"/>
  <c r="I282" s="1"/>
  <c r="H131" i="2"/>
  <c r="H122"/>
  <c r="H15" i="7"/>
  <c r="H110" i="2"/>
  <c r="H109" s="1"/>
  <c r="G45" i="17" s="1"/>
  <c r="H17" i="6"/>
  <c r="I19" s="1"/>
  <c r="J121" i="3"/>
  <c r="J106" s="1"/>
  <c r="J215"/>
  <c r="J214" s="1"/>
  <c r="E209" s="1"/>
  <c r="I32" i="8"/>
  <c r="H59" i="6"/>
  <c r="I61" s="1"/>
  <c r="H100" i="2"/>
  <c r="E10" i="13"/>
  <c r="E9"/>
  <c r="K6"/>
  <c r="K7" s="1"/>
  <c r="J6"/>
  <c r="D8"/>
  <c r="D7"/>
  <c r="H6"/>
  <c r="D34"/>
  <c r="C34"/>
  <c r="H34" s="1"/>
  <c r="D33"/>
  <c r="C33"/>
  <c r="H32"/>
  <c r="I26"/>
  <c r="F8"/>
  <c r="D54" l="1"/>
  <c r="I11" i="17" s="1"/>
  <c r="J11" s="1"/>
  <c r="H49" i="2"/>
  <c r="G11" i="17" s="1"/>
  <c r="K45"/>
  <c r="L44" i="13"/>
  <c r="L46"/>
  <c r="I361" i="7"/>
  <c r="J238"/>
  <c r="J239" s="1"/>
  <c r="I240"/>
  <c r="H214"/>
  <c r="I199"/>
  <c r="F152"/>
  <c r="I160"/>
  <c r="F114"/>
  <c r="I122"/>
  <c r="F9"/>
  <c r="I17"/>
  <c r="E13" i="9"/>
  <c r="I24"/>
  <c r="L16" i="3"/>
  <c r="I36" i="9"/>
  <c r="I28"/>
  <c r="L42" i="13"/>
  <c r="I34" i="9"/>
  <c r="I25"/>
  <c r="L48" i="13"/>
  <c r="L41"/>
  <c r="I27" i="9"/>
  <c r="I39"/>
  <c r="I26"/>
  <c r="L47" i="13"/>
  <c r="G41" i="9"/>
  <c r="H41" s="1"/>
  <c r="F53" i="13"/>
  <c r="J68" i="3"/>
  <c r="E41" i="9" s="1"/>
  <c r="G29"/>
  <c r="H29" s="1"/>
  <c r="E49" i="13"/>
  <c r="H22" i="9"/>
  <c r="I22" s="1"/>
  <c r="F49" i="13"/>
  <c r="G37" i="9"/>
  <c r="H37" s="1"/>
  <c r="I37" s="1"/>
  <c r="J65" i="3"/>
  <c r="E38" i="9" s="1"/>
  <c r="I38" s="1"/>
  <c r="I23"/>
  <c r="J67" i="3"/>
  <c r="E40" i="9" s="1"/>
  <c r="I40" s="1"/>
  <c r="I30"/>
  <c r="J56" i="3"/>
  <c r="E29" i="9" s="1"/>
  <c r="L43" i="13"/>
  <c r="E79" i="9"/>
  <c r="E98" s="1"/>
  <c r="G37" i="17"/>
  <c r="K37" s="1"/>
  <c r="H135" i="7"/>
  <c r="H173"/>
  <c r="F191"/>
  <c r="H78" i="6"/>
  <c r="F53"/>
  <c r="L724" i="5"/>
  <c r="M724" s="1"/>
  <c r="J105" i="3"/>
  <c r="E100" s="1"/>
  <c r="H58" i="2"/>
  <c r="G20" i="17" s="1"/>
  <c r="G19" s="1"/>
  <c r="H96" i="2"/>
  <c r="G40" i="17" s="1"/>
  <c r="F71" i="9"/>
  <c r="G10" i="14"/>
  <c r="H30" i="7"/>
  <c r="H9" i="13"/>
  <c r="H10"/>
  <c r="L423" i="5"/>
  <c r="F274" i="7"/>
  <c r="H296"/>
  <c r="F353"/>
  <c r="H374"/>
  <c r="F314"/>
  <c r="H335"/>
  <c r="G232"/>
  <c r="H256"/>
  <c r="H36" i="6"/>
  <c r="F11"/>
  <c r="M16" s="1"/>
  <c r="J73" i="5"/>
  <c r="J221" i="3"/>
  <c r="M74" i="12"/>
  <c r="L74"/>
  <c r="J73"/>
  <c r="K73" s="1"/>
  <c r="J72"/>
  <c r="K72" s="1"/>
  <c r="J71"/>
  <c r="K71" s="1"/>
  <c r="J70"/>
  <c r="K70" s="1"/>
  <c r="M69"/>
  <c r="L69"/>
  <c r="J68"/>
  <c r="K68" s="1"/>
  <c r="J67"/>
  <c r="K67" s="1"/>
  <c r="J66"/>
  <c r="K66" s="1"/>
  <c r="K69" s="1"/>
  <c r="J65"/>
  <c r="K65" s="1"/>
  <c r="M64"/>
  <c r="L64"/>
  <c r="J63"/>
  <c r="K63" s="1"/>
  <c r="J62"/>
  <c r="K62" s="1"/>
  <c r="M61"/>
  <c r="L61"/>
  <c r="J60"/>
  <c r="K60" s="1"/>
  <c r="J59"/>
  <c r="K59" s="1"/>
  <c r="M58"/>
  <c r="L58"/>
  <c r="J57"/>
  <c r="K57" s="1"/>
  <c r="J56"/>
  <c r="K56" s="1"/>
  <c r="J55"/>
  <c r="K55" s="1"/>
  <c r="M54"/>
  <c r="L54"/>
  <c r="J53"/>
  <c r="K53" s="1"/>
  <c r="J52"/>
  <c r="K52" s="1"/>
  <c r="J51"/>
  <c r="K51" s="1"/>
  <c r="M50"/>
  <c r="L50"/>
  <c r="J50"/>
  <c r="K50" s="1"/>
  <c r="J49"/>
  <c r="K49" s="1"/>
  <c r="J48"/>
  <c r="K48" s="1"/>
  <c r="J47"/>
  <c r="K47" s="1"/>
  <c r="M46"/>
  <c r="L46"/>
  <c r="J46"/>
  <c r="K46" s="1"/>
  <c r="M45"/>
  <c r="L45"/>
  <c r="J44"/>
  <c r="K44" s="1"/>
  <c r="J43"/>
  <c r="K43" s="1"/>
  <c r="J42"/>
  <c r="K42" s="1"/>
  <c r="M41"/>
  <c r="L41"/>
  <c r="J40"/>
  <c r="K40" s="1"/>
  <c r="J39"/>
  <c r="K39" s="1"/>
  <c r="J38"/>
  <c r="K41" s="1"/>
  <c r="M37"/>
  <c r="L37"/>
  <c r="J36"/>
  <c r="K36" s="1"/>
  <c r="J35"/>
  <c r="K35" s="1"/>
  <c r="J34"/>
  <c r="K34" s="1"/>
  <c r="M33"/>
  <c r="L33"/>
  <c r="K32"/>
  <c r="J32"/>
  <c r="K31"/>
  <c r="J31"/>
  <c r="J30"/>
  <c r="K33" s="1"/>
  <c r="M29"/>
  <c r="L29"/>
  <c r="J29"/>
  <c r="K29" s="1"/>
  <c r="J27"/>
  <c r="K27" s="1"/>
  <c r="J26"/>
  <c r="K26" s="1"/>
  <c r="J25"/>
  <c r="K25" s="1"/>
  <c r="J24"/>
  <c r="K24" s="1"/>
  <c r="J23"/>
  <c r="K23" s="1"/>
  <c r="J22"/>
  <c r="K22" s="1"/>
  <c r="M21"/>
  <c r="M75" s="1"/>
  <c r="L21"/>
  <c r="J20"/>
  <c r="K20" s="1"/>
  <c r="J19"/>
  <c r="K21" s="1"/>
  <c r="J18"/>
  <c r="K18" s="1"/>
  <c r="J16"/>
  <c r="K16" s="1"/>
  <c r="J15"/>
  <c r="K15" s="1"/>
  <c r="J14"/>
  <c r="K14" s="1"/>
  <c r="J13"/>
  <c r="K13" s="1"/>
  <c r="J12"/>
  <c r="K12" s="1"/>
  <c r="J11"/>
  <c r="K11" s="1"/>
  <c r="K40" i="17" l="1"/>
  <c r="E21" i="9"/>
  <c r="E55" s="1"/>
  <c r="I29"/>
  <c r="E53" i="13"/>
  <c r="L53" s="1"/>
  <c r="E52"/>
  <c r="E50"/>
  <c r="E51"/>
  <c r="L51" s="1"/>
  <c r="L49"/>
  <c r="F50"/>
  <c r="F54" s="1"/>
  <c r="F52"/>
  <c r="I41" i="9"/>
  <c r="J48" i="3"/>
  <c r="G21" i="9"/>
  <c r="H78" i="2"/>
  <c r="H77" s="1"/>
  <c r="G33" i="17" s="1"/>
  <c r="J72" i="5"/>
  <c r="L75" i="12"/>
  <c r="J154" i="3"/>
  <c r="I11" i="16"/>
  <c r="K19" i="17"/>
  <c r="L161"/>
  <c r="K61" i="12"/>
  <c r="K54"/>
  <c r="K19"/>
  <c r="K30"/>
  <c r="K38"/>
  <c r="L76"/>
  <c r="K58"/>
  <c r="K64"/>
  <c r="K74"/>
  <c r="K17"/>
  <c r="K28"/>
  <c r="K37"/>
  <c r="K45"/>
  <c r="E54" i="13" l="1"/>
  <c r="G54" s="1"/>
  <c r="I14" i="17" s="1"/>
  <c r="J15" i="3"/>
  <c r="J78" s="1"/>
  <c r="K8" i="13" s="1"/>
  <c r="K9" s="1"/>
  <c r="K22" s="1"/>
  <c r="K33" i="17"/>
  <c r="T36" i="15"/>
  <c r="L52" i="13"/>
  <c r="H21" i="9"/>
  <c r="I21" s="1"/>
  <c r="G55"/>
  <c r="L50" i="13"/>
  <c r="J86" i="5"/>
  <c r="J71"/>
  <c r="K24" i="17"/>
  <c r="K20"/>
  <c r="K75" i="12"/>
  <c r="L54" i="13" l="1"/>
  <c r="E9" i="3"/>
  <c r="E10"/>
  <c r="J14" i="17"/>
  <c r="J10" s="1"/>
  <c r="J9" s="1"/>
  <c r="J8" s="1"/>
  <c r="I10"/>
  <c r="I9" s="1"/>
  <c r="I8" s="1"/>
  <c r="I67" s="1"/>
  <c r="J67" s="1"/>
  <c r="F66" i="5"/>
  <c r="F65" s="1"/>
  <c r="K75"/>
  <c r="H51" i="2"/>
  <c r="G13" i="17" s="1"/>
  <c r="H50" i="2"/>
  <c r="G12" i="17" l="1"/>
  <c r="M47" i="2"/>
  <c r="K51"/>
  <c r="G43" i="17"/>
  <c r="K43" s="1"/>
  <c r="H167" i="2"/>
  <c r="G64" i="17" s="1"/>
  <c r="K64" s="1"/>
  <c r="H163" i="2"/>
  <c r="G63" i="17" s="1"/>
  <c r="K63" s="1"/>
  <c r="H142" i="2" l="1"/>
  <c r="G56" i="17" s="1"/>
  <c r="K56" s="1"/>
  <c r="H124" i="2"/>
  <c r="G50" i="17" s="1"/>
  <c r="K50" s="1"/>
  <c r="H151" i="2"/>
  <c r="G59" i="17" s="1"/>
  <c r="K59" s="1"/>
  <c r="H136" i="2"/>
  <c r="H139"/>
  <c r="G55" i="17" s="1"/>
  <c r="K55" s="1"/>
  <c r="H56" i="2"/>
  <c r="H157"/>
  <c r="G61" i="17" s="1"/>
  <c r="K61" s="1"/>
  <c r="H145" i="2"/>
  <c r="G57" i="17" s="1"/>
  <c r="K57" s="1"/>
  <c r="H133" i="2"/>
  <c r="G53" i="17" s="1"/>
  <c r="K53" s="1"/>
  <c r="K30" l="1"/>
  <c r="G54"/>
  <c r="K54" s="1"/>
  <c r="L56" i="2"/>
  <c r="G18" i="17"/>
  <c r="K18" s="1"/>
  <c r="K29"/>
  <c r="G17" i="14"/>
  <c r="H65" i="2" l="1"/>
  <c r="G27" i="17" s="1"/>
  <c r="H121" i="2"/>
  <c r="G49" i="17" s="1"/>
  <c r="K49" s="1"/>
  <c r="H99" i="2"/>
  <c r="K56"/>
  <c r="M33"/>
  <c r="H31"/>
  <c r="H27"/>
  <c r="K78" s="1"/>
  <c r="H20"/>
  <c r="H11"/>
  <c r="L76" l="1"/>
  <c r="G41" i="17"/>
  <c r="H95" i="2"/>
  <c r="H25"/>
  <c r="H10"/>
  <c r="K76" s="1"/>
  <c r="K79" s="1"/>
  <c r="I17" i="16"/>
  <c r="I22" s="1"/>
  <c r="H64" i="2"/>
  <c r="H57"/>
  <c r="H61"/>
  <c r="G23" i="17" s="1"/>
  <c r="G22" s="1"/>
  <c r="K22" s="1"/>
  <c r="H53" i="2"/>
  <c r="H54"/>
  <c r="H55"/>
  <c r="G17" i="17" s="1"/>
  <c r="H171" i="2"/>
  <c r="H170" s="1"/>
  <c r="K53" l="1"/>
  <c r="G15" i="17"/>
  <c r="K15" s="1"/>
  <c r="K54" i="2"/>
  <c r="G16" i="17"/>
  <c r="K16" s="1"/>
  <c r="K41"/>
  <c r="G39"/>
  <c r="K39" s="1"/>
  <c r="H63" i="2"/>
  <c r="K12" i="17" s="1"/>
  <c r="G26"/>
  <c r="G25" s="1"/>
  <c r="K25" s="1"/>
  <c r="E99" i="3"/>
  <c r="H52" i="2"/>
  <c r="G14" i="17" s="1"/>
  <c r="H43" i="2"/>
  <c r="M73" s="1"/>
  <c r="M77" s="1"/>
  <c r="K13" i="17"/>
  <c r="H9" i="2"/>
  <c r="K63" l="1"/>
  <c r="G10" i="17"/>
  <c r="G9" s="1"/>
  <c r="G8" s="1"/>
  <c r="K14"/>
  <c r="E208" i="3"/>
  <c r="K52" i="2"/>
  <c r="K49"/>
  <c r="K57"/>
  <c r="M51"/>
  <c r="H48"/>
  <c r="K10" i="17" l="1"/>
  <c r="I44" i="15"/>
  <c r="I54" s="1"/>
  <c r="H47" i="2"/>
  <c r="K48"/>
  <c r="H60"/>
  <c r="L75" s="1"/>
  <c r="L80" s="1"/>
  <c r="H130"/>
  <c r="G52" i="17" s="1"/>
  <c r="K52" s="1"/>
  <c r="H46" i="2" l="1"/>
  <c r="N47" s="1"/>
  <c r="N49" s="1"/>
  <c r="K11" i="17"/>
  <c r="K27"/>
  <c r="I9" i="15"/>
  <c r="I18" s="1"/>
  <c r="K9" i="17"/>
  <c r="K60" i="2"/>
  <c r="E174" i="3"/>
  <c r="H118" i="2" l="1"/>
  <c r="G48" i="17" s="1"/>
  <c r="K48" s="1"/>
  <c r="K8" l="1"/>
  <c r="H116" i="2"/>
  <c r="H115" s="1"/>
  <c r="H82" i="7"/>
  <c r="I84" s="1"/>
  <c r="H108" i="2" l="1"/>
  <c r="G47" i="17"/>
  <c r="H97" i="7"/>
  <c r="F76"/>
  <c r="H14" i="9"/>
  <c r="H13" s="1"/>
  <c r="H55" s="1"/>
  <c r="K47" i="17" l="1"/>
  <c r="G44"/>
  <c r="K44" s="1"/>
  <c r="I13" i="9"/>
  <c r="I55"/>
  <c r="I14"/>
  <c r="K26" i="17" l="1"/>
  <c r="G9" i="14" l="1"/>
  <c r="G37" s="1"/>
  <c r="H73" i="2" l="1"/>
  <c r="G36" i="17"/>
  <c r="I37" i="14"/>
  <c r="K95" i="2" l="1"/>
  <c r="L74"/>
  <c r="L82" s="1"/>
  <c r="K109"/>
  <c r="K36" i="17"/>
  <c r="G31"/>
  <c r="G15" i="14"/>
  <c r="K23" i="17"/>
  <c r="K31" l="1"/>
  <c r="H174" i="2"/>
  <c r="L159" i="17"/>
  <c r="H45" i="2"/>
  <c r="H175" l="1"/>
  <c r="H178" l="1"/>
  <c r="H181" l="1"/>
  <c r="H183" s="1"/>
  <c r="H184" s="1"/>
  <c r="L202" i="5"/>
  <c r="K66" i="17"/>
  <c r="G65"/>
  <c r="F48" i="7"/>
  <c r="K65" i="17" l="1"/>
  <c r="G67"/>
  <c r="K67" s="1"/>
</calcChain>
</file>

<file path=xl/sharedStrings.xml><?xml version="1.0" encoding="utf-8"?>
<sst xmlns="http://schemas.openxmlformats.org/spreadsheetml/2006/main" count="5580" uniqueCount="1019">
  <si>
    <t>URAIAN</t>
  </si>
  <si>
    <t>KET</t>
  </si>
  <si>
    <t>PENDAPATAN</t>
  </si>
  <si>
    <t>PENDAPATAN ASLI DESA</t>
  </si>
  <si>
    <t>Hasil Usaha</t>
  </si>
  <si>
    <t>Pasar Desa</t>
  </si>
  <si>
    <t>-</t>
  </si>
  <si>
    <t>PENDAPATAN TRANSFER</t>
  </si>
  <si>
    <t>Dana Desa</t>
  </si>
  <si>
    <t>Bagian dari hasil pajak &amp; retribusi daerah kabupaten</t>
  </si>
  <si>
    <t>Bagi Hasil Pajak</t>
  </si>
  <si>
    <t>Bagi Hasil Retribusi</t>
  </si>
  <si>
    <t>Alokasi Dana Desa</t>
  </si>
  <si>
    <t>Bantuan Keuangan</t>
  </si>
  <si>
    <t>Bantuan Provinsi</t>
  </si>
  <si>
    <t>Bantuan Kabupaten / Kota</t>
  </si>
  <si>
    <t>PENDAPATAN LAIN-LAIN</t>
  </si>
  <si>
    <t>Lain-lain Pendapatan Desa yang sah</t>
  </si>
  <si>
    <t>JUMLAH PENDAPATAN</t>
  </si>
  <si>
    <t>BELANJA</t>
  </si>
  <si>
    <t>BIDANG PENYELENGGARAAN PEMERINTAHAN DESA</t>
  </si>
  <si>
    <t>Penghasilan Tetap dan Tunjangan</t>
  </si>
  <si>
    <t>Belanja Pegawai dan tunjangan</t>
  </si>
  <si>
    <t xml:space="preserve"> </t>
  </si>
  <si>
    <t>Tunjangan BPD</t>
  </si>
  <si>
    <t>Tunjangan Kesehatan (BPJS)</t>
  </si>
  <si>
    <t xml:space="preserve">Belanja Barang  dan jasa </t>
  </si>
  <si>
    <t>Alat Tulis Kantor</t>
  </si>
  <si>
    <t>Pakaian Dinas dan Atribut</t>
  </si>
  <si>
    <t>Perjalanan Dinas</t>
  </si>
  <si>
    <t>Pemeliharaan Aset Desa</t>
  </si>
  <si>
    <t>Belanja Makan dan Minum</t>
  </si>
  <si>
    <t>Belanja Modal</t>
  </si>
  <si>
    <t>Operasional BPD</t>
  </si>
  <si>
    <t>Belanja Barang dan Jasa</t>
  </si>
  <si>
    <t>Operasional RT / RW</t>
  </si>
  <si>
    <t>BIDANG PELAKSANAAN PEMBANGUNAN DESA</t>
  </si>
  <si>
    <t>Belanja Barang dan jasa</t>
  </si>
  <si>
    <t>BIDANG PEMBINAAN KEMASYARAKATAN</t>
  </si>
  <si>
    <t>Belanja Barang dan Jasa:</t>
  </si>
  <si>
    <t>BIDANG PEMBERDAYAAN MASYARAKAT</t>
  </si>
  <si>
    <t>- Honorarium Panitia</t>
  </si>
  <si>
    <t>BIDANG TAK TERDUGA</t>
  </si>
  <si>
    <t>Kegiatan Kejadian Luar Biasa</t>
  </si>
  <si>
    <t>JUMLAH BELANJA</t>
  </si>
  <si>
    <t>SURPLUS/DEVISIT</t>
  </si>
  <si>
    <t>PEMBIAYAAN</t>
  </si>
  <si>
    <t>Pembentukan Dana Cadangan</t>
  </si>
  <si>
    <t>Penyertaan Modal Desa</t>
  </si>
  <si>
    <t>JUMLAH(3.1-3.2)</t>
  </si>
  <si>
    <t>Kepala Desa Darma,</t>
  </si>
  <si>
    <t>H. TOTONG YUDI MURTADO</t>
  </si>
  <si>
    <t>(Rp.)</t>
  </si>
  <si>
    <t>TAHUN ANGGARAN 2016</t>
  </si>
  <si>
    <t>RENCANA  ANGGARAN BIAYA</t>
  </si>
  <si>
    <t>DESA DARMA KECAMATAN DARMA</t>
  </si>
  <si>
    <t>NO.</t>
  </si>
  <si>
    <t>VOLUME</t>
  </si>
  <si>
    <t>HARGA SATUAN</t>
  </si>
  <si>
    <t>JUMLAH</t>
  </si>
  <si>
    <t>2.1.1.1</t>
  </si>
  <si>
    <t>Belanja Pegawai</t>
  </si>
  <si>
    <t>Penghasilan tetap Kepala Desa dan Perangkat</t>
  </si>
  <si>
    <t>1. Kepala Desa</t>
  </si>
  <si>
    <t>Org</t>
  </si>
  <si>
    <t>Tunjangan Penghasilan Kepala Desa dan Perangkat Desa(dari Bengkok)</t>
  </si>
  <si>
    <t>2. Sekretaris Desa</t>
  </si>
  <si>
    <t>Ketua</t>
  </si>
  <si>
    <t>Wakil Ketua</t>
  </si>
  <si>
    <t>Sekretaris</t>
  </si>
  <si>
    <t>Anggota</t>
  </si>
  <si>
    <t>Kepala Desa</t>
  </si>
  <si>
    <t>Perangkat Lainnya</t>
  </si>
  <si>
    <t>Tunjangan Purna Bhakti Aparatur Desa</t>
  </si>
  <si>
    <t>Honorarium Petugas Registrat</t>
  </si>
  <si>
    <t xml:space="preserve">Jumlah </t>
  </si>
  <si>
    <t>Disetujui / mengesahkan</t>
  </si>
  <si>
    <t>Pelaksana Kegiatan</t>
  </si>
  <si>
    <t>Kepala Desa  Darma,</t>
  </si>
  <si>
    <t>DESA  DARMA KECAMATAN DARMA</t>
  </si>
  <si>
    <t>2.1.2</t>
  </si>
  <si>
    <t>Operasional Kantor</t>
  </si>
  <si>
    <t>kertas HVS 70 gr</t>
  </si>
  <si>
    <t>rim</t>
  </si>
  <si>
    <t>Pulpen</t>
  </si>
  <si>
    <t>pak</t>
  </si>
  <si>
    <t>Hekter</t>
  </si>
  <si>
    <t>Tpie-X</t>
  </si>
  <si>
    <t>Tinta Printer</t>
  </si>
  <si>
    <t>pk</t>
  </si>
  <si>
    <t xml:space="preserve">Benda Pos </t>
  </si>
  <si>
    <t>Materai Rp. 6.000</t>
  </si>
  <si>
    <t>materai Rp. 3000</t>
  </si>
  <si>
    <t>stel</t>
  </si>
  <si>
    <t>Pakian Dinas Kemit Bale</t>
  </si>
  <si>
    <t>Dalam Wilayah kecamatan</t>
  </si>
  <si>
    <t>Perangkat lainnya</t>
  </si>
  <si>
    <t>Radius &lt; 20 Km</t>
  </si>
  <si>
    <t>Luar Kabupaten</t>
  </si>
  <si>
    <t>Kli</t>
  </si>
  <si>
    <t>Alat dan bahan kebersihan</t>
  </si>
  <si>
    <t>sapu lidi</t>
  </si>
  <si>
    <t>bh</t>
  </si>
  <si>
    <t>lap pel</t>
  </si>
  <si>
    <t>Tempat Sampah</t>
  </si>
  <si>
    <t>Sapu Lantai</t>
  </si>
  <si>
    <t>Listrik, Internet dan telefon</t>
  </si>
  <si>
    <t>Listrik, Telepon, Internet</t>
  </si>
  <si>
    <t>Makan dan Minum Rapat</t>
  </si>
  <si>
    <t>Makan dan Minum Tamu</t>
  </si>
  <si>
    <t>Jamuan Ringan Perangkat</t>
  </si>
  <si>
    <t>Honorarium Petugas Pengamanan Kantor (kemit)</t>
  </si>
  <si>
    <t>Honorarium Bulanan Kemit</t>
  </si>
  <si>
    <t>Biaya Pensertifikatan Aset Desa</t>
  </si>
  <si>
    <t>bdg</t>
  </si>
  <si>
    <t>AMIN SUPRIADI</t>
  </si>
  <si>
    <t>Darma, 20 April 2016</t>
  </si>
  <si>
    <t>LAMPIRAN PERATURAN DESA DARMA</t>
  </si>
  <si>
    <t>NOMOR</t>
  </si>
  <si>
    <t>TANGGAL</t>
  </si>
  <si>
    <t>TENTANG</t>
  </si>
  <si>
    <t>: ANGGARAN PENDAPATAN DAN BELANJA DESA (APBDes)</t>
  </si>
  <si>
    <t>KODE REKENING</t>
  </si>
  <si>
    <t>ANGGARAN (Rp)</t>
  </si>
  <si>
    <t xml:space="preserve">  </t>
  </si>
  <si>
    <t>catatan : angka warna merah hanya untuk simulasi 30 % bukan untuk dicetak</t>
  </si>
  <si>
    <t>hitungan 30 % dari apbdes</t>
  </si>
  <si>
    <t>siltap</t>
  </si>
  <si>
    <t>bpd</t>
  </si>
  <si>
    <t>Tunjangan Purna Bakti Perangkat Desa</t>
  </si>
  <si>
    <t>rt/rw</t>
  </si>
  <si>
    <t>operasional</t>
  </si>
  <si>
    <t>Belanja modal</t>
  </si>
  <si>
    <t>Penyelenggaraan Musyawarah Desa</t>
  </si>
  <si>
    <t>Penyelenggaraan Evaluasi Tingkat Perkembangan Pemerintahan Desa</t>
  </si>
  <si>
    <t>Penyelenggaraan Kerja Sama antar Desa</t>
  </si>
  <si>
    <t>Pembangunan dan Pengelolaan Posyandu</t>
  </si>
  <si>
    <t>Pembangunan Air Bersih berskla Desa</t>
  </si>
  <si>
    <t>Pembangunan dan Pemeliharaan Jalan Desa</t>
  </si>
  <si>
    <t>Pembangunan dan Pemeliharaan Prasarana Lingkungan Permukiman Masyarakat Desa</t>
  </si>
  <si>
    <t>Pembangunan Sarana Prasarana Desa Lainnya</t>
  </si>
  <si>
    <t>Kegiatan pembinaan lembaga kemasyarakatan</t>
  </si>
  <si>
    <t>Kegiatan Penyelenggaraan Keamanan dan Ketertiban</t>
  </si>
  <si>
    <t>Kegiatan Pembinaan Kemasyarakatan Lainnya</t>
  </si>
  <si>
    <t>Kegiatan Peningkatan Kualitas Proses Perencanaan Desa</t>
  </si>
  <si>
    <t>Kegiatan Pembentukan dan Peningkatan Kapasitas Keder pemberdayaan Masyarakat Desa</t>
  </si>
  <si>
    <t>Kegiatan Penyelenggaraan promosi Kesehatan dan Gerakan Hidup bersih dan Sehat</t>
  </si>
  <si>
    <t>Kegiatan peningkatan Kapasitas kelompok Masyarakat</t>
  </si>
  <si>
    <t>Peningkatan Kapasitas kelompok usaha Ekonomi Produktif</t>
  </si>
  <si>
    <t>Peningkatan Kapasitas kelompok Perempuan (PKK)</t>
  </si>
  <si>
    <t>Peningkatan Kapasitas kelompok Tani</t>
  </si>
  <si>
    <t>Peningkatan Kapasitas Kelompok Masyarakat Miskin</t>
  </si>
  <si>
    <t>Peningkatan Kapasitas Kader Keluarga Berencana</t>
  </si>
  <si>
    <t>Peningkatan Kapasitas kelompok Pengrajin</t>
  </si>
  <si>
    <t>Pemberdayaan Pokja Profil Desa</t>
  </si>
  <si>
    <t>Peningkatan Kapasitas Kelompok Pemerhati dan Perlindungan Anak</t>
  </si>
  <si>
    <t>Peningkatan Kapasitas Kelompok Pemuda</t>
  </si>
  <si>
    <t>Pendidikan, Pelatihan dan Penyuluhan Bagi Kepala Desa, Perangkat Desa, dan Badan Permusyawaratan Desa</t>
  </si>
  <si>
    <t>Kegiatan Pemberdayaan Masyarakat Lainnya</t>
  </si>
  <si>
    <t>Pembinaan Posyandu</t>
  </si>
  <si>
    <t>Pembinaan dan Pengelolaan Pendidikan Anak Usia Dini</t>
  </si>
  <si>
    <t>Pengelolaan Pasar Desa dan Kios Desa</t>
  </si>
  <si>
    <t>Pengelolaan jaring Apung dan Bagang Ikan</t>
  </si>
  <si>
    <t>Honorarium PTPKD</t>
  </si>
  <si>
    <t>2.1.3</t>
  </si>
  <si>
    <t>2.1.3.2</t>
  </si>
  <si>
    <t>2.1.4</t>
  </si>
  <si>
    <t>2.1.4.2</t>
  </si>
  <si>
    <t>Operasional RT/RW</t>
  </si>
  <si>
    <t>2.1.4.3</t>
  </si>
  <si>
    <t>Penetapan dan Penegasan Batas Desa</t>
  </si>
  <si>
    <t>SURAT PERMINTAAN PEMBAYARAN  ( SPP )</t>
  </si>
  <si>
    <t>Bidang</t>
  </si>
  <si>
    <t>Kegiatan</t>
  </si>
  <si>
    <t>Waktu Pelaksanaan</t>
  </si>
  <si>
    <t>Rinncian Dana :</t>
  </si>
  <si>
    <t xml:space="preserve">PAGU ANGGARAN </t>
  </si>
  <si>
    <t>PENCAIRAN S.D. YG LALU</t>
  </si>
  <si>
    <t>PERMINTAAN SEKARANG</t>
  </si>
  <si>
    <t>JUMLAH SAMPAI SAAT INI</t>
  </si>
  <si>
    <t>SISA DANA</t>
  </si>
  <si>
    <t>Sekretaris Desa</t>
  </si>
  <si>
    <t>Bendahara</t>
  </si>
  <si>
    <t>Asal Dana</t>
  </si>
  <si>
    <t>Anggaran kegiatan</t>
  </si>
  <si>
    <t>Out Put</t>
  </si>
  <si>
    <t>: Juni</t>
  </si>
  <si>
    <t>: ADD</t>
  </si>
  <si>
    <t>AAH KURNIAH</t>
  </si>
  <si>
    <t xml:space="preserve">: </t>
  </si>
  <si>
    <t>3. Kepala Urusan</t>
  </si>
  <si>
    <t>4. Stap</t>
  </si>
  <si>
    <t>5. Kepala Seksi</t>
  </si>
  <si>
    <t>6. Kepala Dusun</t>
  </si>
  <si>
    <t>Rincian Biaya:</t>
  </si>
  <si>
    <t>Pembangunan MCK Umum di RT.07 RW. 01 Dusun Pakuwon</t>
  </si>
  <si>
    <t>Tunjangan Keluarga Kepala Desa dan Perangkat Desa</t>
  </si>
  <si>
    <t>Tunjangan Keluarga kepala Desa dan Perangkat Desa</t>
  </si>
  <si>
    <t>kl</t>
  </si>
  <si>
    <t>Kasi Ekbang</t>
  </si>
  <si>
    <t>Kasi Pemerintahan</t>
  </si>
  <si>
    <t>Kasi Kesra</t>
  </si>
  <si>
    <t>Stimulan</t>
  </si>
  <si>
    <t>Rt</t>
  </si>
  <si>
    <t>: PEMBINAAN KEMASYARAKATAN</t>
  </si>
  <si>
    <t>7. Pajak</t>
  </si>
  <si>
    <t>non 30%</t>
  </si>
  <si>
    <t>kepala desa(P. Jawab)</t>
  </si>
  <si>
    <t>kasi (Wkl.P. Jawab)</t>
  </si>
  <si>
    <t>lpm (Ketua)</t>
  </si>
  <si>
    <t>kaur umum (Sekretaris)</t>
  </si>
  <si>
    <t>kadus (Pengawas)</t>
  </si>
  <si>
    <t>lpm, KaurKeu, Anggt Lain)</t>
  </si>
  <si>
    <t>: DD</t>
  </si>
  <si>
    <t>- Perencanaan</t>
  </si>
  <si>
    <t>- Prasasti Kegiatan</t>
  </si>
  <si>
    <t>- papan Proyek</t>
  </si>
  <si>
    <t>Bh</t>
  </si>
  <si>
    <t>JML</t>
  </si>
  <si>
    <t>SAT</t>
  </si>
  <si>
    <t>b. Pembelian bata merah</t>
  </si>
  <si>
    <t>Jumlah</t>
  </si>
  <si>
    <t>: Rp.</t>
  </si>
  <si>
    <t>OJAN PAOJAN</t>
  </si>
  <si>
    <t>WAWAN GUNAWAN</t>
  </si>
  <si>
    <t>DEDI AHMAD MULYADI</t>
  </si>
  <si>
    <t>hitungan max siltap&amp;tunjangan</t>
  </si>
  <si>
    <t>60 persen ADD</t>
  </si>
  <si>
    <t>Penghasilan dari Bengkok</t>
  </si>
  <si>
    <t>Tunj.Kinerja</t>
  </si>
  <si>
    <t>Penghasilan Tetap Kepala Desa dan Perangkat</t>
  </si>
  <si>
    <t>Tunjangan BPJS</t>
  </si>
  <si>
    <t>Bahan Pembersih</t>
  </si>
  <si>
    <t>ls</t>
  </si>
  <si>
    <t>Output Kegiatan</t>
  </si>
  <si>
    <t>: PENYELEGGARAAN PEMERINTAHAN DESA</t>
  </si>
  <si>
    <t xml:space="preserve">: Rp. </t>
  </si>
  <si>
    <t>: Operasional RT. RW</t>
  </si>
  <si>
    <t>: Operasional BPD</t>
  </si>
  <si>
    <t>: Belanja Pegawai (Siltap dan Tunjangan)</t>
  </si>
  <si>
    <t>: Penyelenggaraan Musyawarah Desa</t>
  </si>
  <si>
    <t>m3</t>
  </si>
  <si>
    <t>Zk</t>
  </si>
  <si>
    <t>m2</t>
  </si>
  <si>
    <t>Pc</t>
  </si>
  <si>
    <t>mcm</t>
  </si>
  <si>
    <t>DD</t>
  </si>
  <si>
    <t>(Rp)</t>
  </si>
  <si>
    <t>SIDIK SUNDAYA</t>
  </si>
  <si>
    <t>m</t>
  </si>
  <si>
    <t>Kg</t>
  </si>
  <si>
    <t>kg</t>
  </si>
  <si>
    <t>BH</t>
  </si>
  <si>
    <t>Total Jumlah</t>
  </si>
  <si>
    <t>REALISASI PENGGUNAAN DANA</t>
  </si>
  <si>
    <t>KEGIATAN PEMBANGUNAN DRAINASE/SALURAN JALAN UTAMA DESA DARMA</t>
  </si>
  <si>
    <t>PROGRAM BANTUAN INFRASTRUKTUR PERDESAAN APBD PROVINSI TAHUN 2015</t>
  </si>
  <si>
    <t>DESA DARMA KECAMATAN DARMA KABUPATEN KUNINGAN</t>
  </si>
  <si>
    <t>BULAN</t>
  </si>
  <si>
    <t>: NOVEMBER 2015</t>
  </si>
  <si>
    <t>NO</t>
  </si>
  <si>
    <t>TANGGAL FAKTUR</t>
  </si>
  <si>
    <t>TANGGAL PEMBAYARAN</t>
  </si>
  <si>
    <t>TOKO/MATRIAL</t>
  </si>
  <si>
    <t>NAMA BARANG</t>
  </si>
  <si>
    <t>HARGA  (Rp)</t>
  </si>
  <si>
    <t>SUB TOTAL (Rp)</t>
  </si>
  <si>
    <t>TOTAL   (Rp)</t>
  </si>
  <si>
    <t>PPN %</t>
  </si>
  <si>
    <t>PPH 1.5%</t>
  </si>
  <si>
    <t>3.11.'15</t>
  </si>
  <si>
    <t>3.11.2015</t>
  </si>
  <si>
    <t>Insan Media</t>
  </si>
  <si>
    <t>Papan Proyek</t>
  </si>
  <si>
    <t>4.11.'15</t>
  </si>
  <si>
    <t>4.11.2015</t>
  </si>
  <si>
    <t>Darma Makmur</t>
  </si>
  <si>
    <t>Cangkul</t>
  </si>
  <si>
    <t>linggis</t>
  </si>
  <si>
    <t>ember aduk</t>
  </si>
  <si>
    <t>Pengki</t>
  </si>
  <si>
    <t>gergaji besi</t>
  </si>
  <si>
    <t>benang Profil</t>
  </si>
  <si>
    <t>5.11.'15</t>
  </si>
  <si>
    <t>5.11.2015</t>
  </si>
  <si>
    <t>Hijau Makmur</t>
  </si>
  <si>
    <t>dm</t>
  </si>
  <si>
    <t>Pasir Pasang</t>
  </si>
  <si>
    <t>zk</t>
  </si>
  <si>
    <t xml:space="preserve">semen </t>
  </si>
  <si>
    <t>Bata Merah</t>
  </si>
  <si>
    <t>Satu Utama</t>
  </si>
  <si>
    <t>lm</t>
  </si>
  <si>
    <t>Papan cor</t>
  </si>
  <si>
    <t>7.11.'15</t>
  </si>
  <si>
    <t>7.11.2015</t>
  </si>
  <si>
    <t>Batu Belah</t>
  </si>
  <si>
    <t>bt</t>
  </si>
  <si>
    <t>Piva PVC</t>
  </si>
  <si>
    <t>Paku</t>
  </si>
  <si>
    <t>Baliung</t>
  </si>
  <si>
    <t>Selang waterpass</t>
  </si>
  <si>
    <t>8.11.'15</t>
  </si>
  <si>
    <t>8.11.2015</t>
  </si>
  <si>
    <t>Anugrah</t>
  </si>
  <si>
    <t>Hong 1/40</t>
  </si>
  <si>
    <t>11.11.'15</t>
  </si>
  <si>
    <t>11.11.2015</t>
  </si>
  <si>
    <t>dum</t>
  </si>
  <si>
    <t>14.11.'15</t>
  </si>
  <si>
    <t>14.11.2015</t>
  </si>
  <si>
    <t>btl</t>
  </si>
  <si>
    <t>Pengeras Cor</t>
  </si>
  <si>
    <t>15.11.'15</t>
  </si>
  <si>
    <t>15.11.2015</t>
  </si>
  <si>
    <t>18.11.'15</t>
  </si>
  <si>
    <t>18.11.2015</t>
  </si>
  <si>
    <t>Pasir Cor</t>
  </si>
  <si>
    <t>Piva paralon</t>
  </si>
  <si>
    <t>19.11.'15</t>
  </si>
  <si>
    <t>19.11.2015</t>
  </si>
  <si>
    <t>lbr</t>
  </si>
  <si>
    <t>Triflek</t>
  </si>
  <si>
    <t>Split</t>
  </si>
  <si>
    <t>Toko Adi</t>
  </si>
  <si>
    <t>cahaya indosteel Kuningan</t>
  </si>
  <si>
    <t>Wermes m8</t>
  </si>
  <si>
    <t>Dum</t>
  </si>
  <si>
    <t>20.11.'15</t>
  </si>
  <si>
    <t>20.11.2015</t>
  </si>
  <si>
    <t>A anugrah</t>
  </si>
  <si>
    <t>21.11.'15</t>
  </si>
  <si>
    <t>21.11.2015</t>
  </si>
  <si>
    <t>23.11.'15</t>
  </si>
  <si>
    <t>23.11.2015</t>
  </si>
  <si>
    <t>Pasir</t>
  </si>
  <si>
    <t>24.11.'15</t>
  </si>
  <si>
    <t>24.11.2015</t>
  </si>
  <si>
    <t>25.11.'15</t>
  </si>
  <si>
    <t>25.11.2015</t>
  </si>
  <si>
    <t>ZK</t>
  </si>
  <si>
    <t>26.11.'15</t>
  </si>
  <si>
    <t>26.11.2015</t>
  </si>
  <si>
    <t>28.11.'15</t>
  </si>
  <si>
    <t>28.11.2015</t>
  </si>
  <si>
    <t>29.11.'15</t>
  </si>
  <si>
    <t>29.11.2015</t>
  </si>
  <si>
    <t>30.11.15</t>
  </si>
  <si>
    <t>30.11.2015</t>
  </si>
  <si>
    <t>Jumlah Realisasi Bulan November</t>
  </si>
  <si>
    <t>Jumlah PPn/PPh</t>
  </si>
  <si>
    <t>Darma, November 2015</t>
  </si>
  <si>
    <t>Kepala Desa,</t>
  </si>
  <si>
    <t>Ket. Pelaksana Kegiatan</t>
  </si>
  <si>
    <t>Bendahara Kegiatan,</t>
  </si>
  <si>
    <t>perhitungan DD/ADD</t>
  </si>
  <si>
    <t>ADD</t>
  </si>
  <si>
    <t>DD+ADD</t>
  </si>
  <si>
    <t xml:space="preserve">MAKSIMAL 30 % </t>
  </si>
  <si>
    <t>APEBEDES 2016</t>
  </si>
  <si>
    <t>PADES</t>
  </si>
  <si>
    <t>BAN-GUB</t>
  </si>
  <si>
    <t>BAGI HS PAJAK</t>
  </si>
  <si>
    <t>APEBEDES</t>
  </si>
  <si>
    <t>PEMBINAAN DAN PEMBERDAYAAN</t>
  </si>
  <si>
    <t>PADes</t>
  </si>
  <si>
    <t>JML DD+ADD+PADes(APBDes)</t>
  </si>
  <si>
    <t>Banprov (IF&amp;Kinerja)</t>
  </si>
  <si>
    <t>MAKSIMAL 60% ADD</t>
  </si>
  <si>
    <t>Siltap</t>
  </si>
  <si>
    <t>Operasional</t>
  </si>
  <si>
    <t>3. Kepala Urusan Umum</t>
  </si>
  <si>
    <t>4. Kepala Urusan Keuangan</t>
  </si>
  <si>
    <t>4. Stap(Bendahara)</t>
  </si>
  <si>
    <t>1. Istri Kepala Desa</t>
  </si>
  <si>
    <t>2. Istri Sekdes</t>
  </si>
  <si>
    <t>3. Istri Kaur Umum</t>
  </si>
  <si>
    <t>4. Suami Kaur Keuangan</t>
  </si>
  <si>
    <t>6. Istri Kadus</t>
  </si>
  <si>
    <t>7. Anak Kepala Desa</t>
  </si>
  <si>
    <t>8. Anak Sekdes</t>
  </si>
  <si>
    <t>9. Anak Kaur Umum</t>
  </si>
  <si>
    <t>10.Anak Kasi Pem</t>
  </si>
  <si>
    <t>11.Anak Kasi Kesra</t>
  </si>
  <si>
    <t>12.Anak Kasi Ekbang</t>
  </si>
  <si>
    <t>13.Anak Kadus Pakuwon</t>
  </si>
  <si>
    <t>14.Anak Kadus Paleben</t>
  </si>
  <si>
    <t>15.Anak Kadus Ciook</t>
  </si>
  <si>
    <t>16.Anak Kadus Gunungluhur</t>
  </si>
  <si>
    <t>17.Anak Kadus Kopeng</t>
  </si>
  <si>
    <t>5. Istri Kasi Pemerintahan</t>
  </si>
  <si>
    <t>6. Istri Kasi Kesra</t>
  </si>
  <si>
    <t>7. Istri Kasi Ekbang</t>
  </si>
  <si>
    <t>10.Anak Kaur Keuangan</t>
  </si>
  <si>
    <t>30%=</t>
  </si>
  <si>
    <t>pend transfer</t>
  </si>
  <si>
    <t>60%ADD</t>
  </si>
  <si>
    <t>Pebangunan</t>
  </si>
  <si>
    <t>Pemberdayaan/Pembinaan</t>
  </si>
  <si>
    <t>org</t>
  </si>
  <si>
    <t>Rapat-Rapat</t>
  </si>
  <si>
    <t>2.1.3.3</t>
  </si>
  <si>
    <t>(sisa )</t>
  </si>
  <si>
    <t>Ls</t>
  </si>
  <si>
    <t>LS</t>
  </si>
  <si>
    <t>jumlah</t>
  </si>
  <si>
    <t>M3</t>
  </si>
  <si>
    <t>set</t>
  </si>
  <si>
    <t>- Galian Tanah</t>
  </si>
  <si>
    <t>VOL</t>
  </si>
  <si>
    <t>2.2.2</t>
  </si>
  <si>
    <t>2.2.19</t>
  </si>
  <si>
    <t>2.2.20</t>
  </si>
  <si>
    <t>: Kegiatan pembinaan lembaga kemasyarakatan</t>
  </si>
  <si>
    <t>2.3.1</t>
  </si>
  <si>
    <t>a</t>
  </si>
  <si>
    <t>- Honorarium Panitia Kegiatan</t>
  </si>
  <si>
    <t>- Belanja Alat Tulis</t>
  </si>
  <si>
    <t>- Penggandaan Materi</t>
  </si>
  <si>
    <t>- Piagam Peserta</t>
  </si>
  <si>
    <t>- Honor Pembicara</t>
  </si>
  <si>
    <t>- Seragam Peserta</t>
  </si>
  <si>
    <t>- Makan Peserta/Panitia</t>
  </si>
  <si>
    <t>- Transport Peserta</t>
  </si>
  <si>
    <t>- Dokumentasi</t>
  </si>
  <si>
    <t>- Snack Peserta/ Panitia</t>
  </si>
  <si>
    <t>- Honor Moderator</t>
  </si>
  <si>
    <t>- Honor Pembawa Acara</t>
  </si>
  <si>
    <t>YAYAT HIDAYAT</t>
  </si>
  <si>
    <t xml:space="preserve">b </t>
  </si>
  <si>
    <t>c</t>
  </si>
  <si>
    <t>d</t>
  </si>
  <si>
    <t>e</t>
  </si>
  <si>
    <t>f</t>
  </si>
  <si>
    <t>g</t>
  </si>
  <si>
    <t>2.3.2</t>
  </si>
  <si>
    <t>: Kegiatan Penyelenggaraan Keamanan dan Ketertiban</t>
  </si>
  <si>
    <t>- Belanja Seragam LINMAS</t>
  </si>
  <si>
    <t>: PEMBERDAYAAN MASYARAKAT</t>
  </si>
  <si>
    <t>: Kegiatan Peningkatan Proses Perencanaan Desa</t>
  </si>
  <si>
    <t>Kegiatan Peningkatan Proses Perencanaan Desa</t>
  </si>
  <si>
    <t>: Kegiatan Penyelenggaraan promosi Kesehatan dan Gerakan Hidup bersih dan Sehat</t>
  </si>
  <si>
    <t>: Kegiatan peningkatan Kapasitas kelompok Masyarakat</t>
  </si>
  <si>
    <t>: Peningkatan Kapasitas kelompok usaha Ekonomi Produktif</t>
  </si>
  <si>
    <t>: Peningkatan Kapasitas kelompok Perempuan (PKK)</t>
  </si>
  <si>
    <t>: Peningkatan Kapasitas kelompok Tani</t>
  </si>
  <si>
    <t>: Peningkatan Kapasitas Kelompok Masyarakat Miskin</t>
  </si>
  <si>
    <t>: Peningkatan Kapasitas Kader Keluarga Berencana</t>
  </si>
  <si>
    <t>: Peningkatan Kapasitas Kelompok Pemuda</t>
  </si>
  <si>
    <t>: Pendidikan, Pelatihan dan Penyuluhan Bagi Kepala Desa, Perangkat Desa, dan Badan Permusyawaratan Desa</t>
  </si>
  <si>
    <t>2.4.1</t>
  </si>
  <si>
    <t>2.4.3</t>
  </si>
  <si>
    <t>2.4.5</t>
  </si>
  <si>
    <t>2.4.7</t>
  </si>
  <si>
    <t>2.4.8</t>
  </si>
  <si>
    <t>2.4.9</t>
  </si>
  <si>
    <t>2.4.10</t>
  </si>
  <si>
    <t>2.4.11</t>
  </si>
  <si>
    <t>2.4.13</t>
  </si>
  <si>
    <t>2.4.16</t>
  </si>
  <si>
    <t>2.4.17</t>
  </si>
  <si>
    <t>2.4.21</t>
  </si>
  <si>
    <t>2.4.22</t>
  </si>
  <si>
    <t>2.4.23</t>
  </si>
  <si>
    <t>2.4.24</t>
  </si>
  <si>
    <t>: TAK TERDUGA</t>
  </si>
  <si>
    <t>: …………………………………………..</t>
  </si>
  <si>
    <t>…………………………………………………</t>
  </si>
  <si>
    <t>h</t>
  </si>
  <si>
    <t>i</t>
  </si>
  <si>
    <t>j</t>
  </si>
  <si>
    <t>l</t>
  </si>
  <si>
    <t>: PADes</t>
  </si>
  <si>
    <t>: Juni 2016</t>
  </si>
  <si>
    <t>: PEMBANGUNAN DESA</t>
  </si>
  <si>
    <t>: Pembangunan dan Pengelolaan Posyandu</t>
  </si>
  <si>
    <t>: Pembangunan dan Pemeliharaan Prasarana Lingkungan Permukiman Masyarakat Desa</t>
  </si>
  <si>
    <t>d. Semen</t>
  </si>
  <si>
    <t>kelebihan dari 30%</t>
  </si>
  <si>
    <t>Pembangunan Gang di RT.35-36-37 RW.05 Dusun Kopeng</t>
  </si>
  <si>
    <t>- Upah Kerja HOK</t>
  </si>
  <si>
    <t>c. Batu Split</t>
  </si>
  <si>
    <t>a. Pembelian Pasir Pasang</t>
  </si>
  <si>
    <t>e. Pasir cor</t>
  </si>
  <si>
    <t>h.. Mterial Lain</t>
  </si>
  <si>
    <t>btg</t>
  </si>
  <si>
    <t>lmbr</t>
  </si>
  <si>
    <t>- Biaya Pelaporan</t>
  </si>
  <si>
    <t xml:space="preserve">k </t>
  </si>
  <si>
    <t>pc</t>
  </si>
  <si>
    <t>Pengembangan Desa Wisata</t>
  </si>
  <si>
    <t>Perlindungan Mata Air</t>
  </si>
  <si>
    <t>stl</t>
  </si>
  <si>
    <t>: Kegiatan Pembinaan Kemasyarakatan Lainya</t>
  </si>
  <si>
    <t>2.3.7</t>
  </si>
  <si>
    <t>- Belanja untuk Kesekretariatan Panitia Desa</t>
  </si>
  <si>
    <t>- Belanja Seragam Paniti Desa</t>
  </si>
  <si>
    <t>- Belanja Konsumsi(Makan)</t>
  </si>
  <si>
    <t>- Konsumsi Snack</t>
  </si>
  <si>
    <t>- Sewa Bekron</t>
  </si>
  <si>
    <t>- Sewa Kursi</t>
  </si>
  <si>
    <t>- Sewa Rumah untuk kafilh</t>
  </si>
  <si>
    <t>rmh</t>
  </si>
  <si>
    <t>- Sewa Panggung dan Tenda</t>
  </si>
  <si>
    <t>- Kegiatan Tahun Baru Hijiryah(Muharam) 1438 H</t>
  </si>
  <si>
    <t>- Lomba Pestifal Anak Soleh</t>
  </si>
  <si>
    <t>- Juri Lomba</t>
  </si>
  <si>
    <t>- Piagam dan Piala</t>
  </si>
  <si>
    <t>- Hadiah Pembinaan</t>
  </si>
  <si>
    <t>- Konsumsi</t>
  </si>
  <si>
    <t>st</t>
  </si>
  <si>
    <t xml:space="preserve">- Transport </t>
  </si>
  <si>
    <t>- Transport</t>
  </si>
  <si>
    <t>- Pembicara</t>
  </si>
  <si>
    <t>- Plang Nama PKK</t>
  </si>
  <si>
    <t>- Meja Kursi</t>
  </si>
  <si>
    <t>Stel</t>
  </si>
  <si>
    <t>- Lemari Arsip</t>
  </si>
  <si>
    <t>- Stimulan Kader</t>
  </si>
  <si>
    <t>unit</t>
  </si>
  <si>
    <t>lmg</t>
  </si>
  <si>
    <t>- Pembicara (Penyuluh Pertanian)</t>
  </si>
  <si>
    <t>- Pembicara (Petugas  Kesehatan)</t>
  </si>
  <si>
    <t>2.4.14</t>
  </si>
  <si>
    <t>: Peningkatan Kapasitas Kelompok Pengrajin</t>
  </si>
  <si>
    <t>Kegiatan  PHBI</t>
  </si>
  <si>
    <t>Kegiatan PHBN</t>
  </si>
  <si>
    <t>- Lomba Kreasi Anak Indonesia</t>
  </si>
  <si>
    <t>- Lomba Tumpeng Kemerdekaan</t>
  </si>
  <si>
    <t>RT</t>
  </si>
  <si>
    <t>- kegiatan Peringatan 17 Agustus 2016</t>
  </si>
  <si>
    <t>- Biaya Upacara</t>
  </si>
  <si>
    <t>- Umbul-umbul dan Bendera</t>
  </si>
  <si>
    <t>: Oktober</t>
  </si>
  <si>
    <t>: September</t>
  </si>
  <si>
    <t>: Februari</t>
  </si>
  <si>
    <t>: Januari</t>
  </si>
  <si>
    <t>: Agustus</t>
  </si>
  <si>
    <t>: Maret</t>
  </si>
  <si>
    <t>: Juli</t>
  </si>
  <si>
    <t>:April</t>
  </si>
  <si>
    <t>: Mei</t>
  </si>
  <si>
    <t>:Maret</t>
  </si>
  <si>
    <t>tahap 1</t>
  </si>
  <si>
    <t>tahap 2</t>
  </si>
  <si>
    <t>REKAPITULASI PENGGUNAAN DANA DESA (DD) TAHUN 2016</t>
  </si>
  <si>
    <t>DESA</t>
  </si>
  <si>
    <t>KECAMATAN</t>
  </si>
  <si>
    <t>: DARMA</t>
  </si>
  <si>
    <t>URAIAN KEGIATAN</t>
  </si>
  <si>
    <t>KETERANGAN</t>
  </si>
  <si>
    <t>Tahap 1 ADD</t>
  </si>
  <si>
    <t>Tahap 1 DD</t>
  </si>
  <si>
    <t>jml</t>
  </si>
  <si>
    <t>BIDANG PENYELENGGARAAN PEMERINTAHAN</t>
  </si>
  <si>
    <t>REKAPITULASI PENGGUNAAN ALOKSI DANA DESA (ADD) TAHUN 2016</t>
  </si>
  <si>
    <t>JUMLAH PENERIMAAN ADD</t>
  </si>
  <si>
    <t>Siltap dan Tunjangan</t>
  </si>
  <si>
    <t>Opersional BPD</t>
  </si>
  <si>
    <t>Opersional RT</t>
  </si>
  <si>
    <t>Pembangunan gang dan Drainase/Saluran di RT. 03 RW. 01 Dusun Pakuwon</t>
  </si>
  <si>
    <t>: Kegiatan Pembentukan dan Peningkatan Kapasitas Kader pemberdayaan Masyarakat Desa</t>
  </si>
  <si>
    <t xml:space="preserve">- Pembicara </t>
  </si>
  <si>
    <t>- Tenaga ahli Perencanaan</t>
  </si>
  <si>
    <t>Pkt</t>
  </si>
  <si>
    <t>- Peralatan Kerja</t>
  </si>
  <si>
    <t>- Bantuan Alat Produksi</t>
  </si>
  <si>
    <t>- Peralatan produksi Tani</t>
  </si>
  <si>
    <t>- Benih Jagung Komposit Label Ungu</t>
  </si>
  <si>
    <t>Pembangunan dan Pemeliharaan Sanitasi Lingkungan</t>
  </si>
  <si>
    <t>: Pembangunan dan Pemeliharaan Sanitasi Lingkungan</t>
  </si>
  <si>
    <t>2.2.4</t>
  </si>
  <si>
    <t>Sarana dan prasarana pendidikan dan pelatihan lainnya.</t>
  </si>
  <si>
    <t>: Sarana dan prasarana pendidikan dan pelatihan lainnya.</t>
  </si>
  <si>
    <t>2.2.9</t>
  </si>
  <si>
    <t>BIDANG PEMBANGUNAN</t>
  </si>
  <si>
    <t>PEMBINAAN KEMASYARAKATAN</t>
  </si>
  <si>
    <t>JUMLAH PENERIMAAN PADes</t>
  </si>
  <si>
    <t>PENYELENGGARAAN PEMERINTAHAN DESA</t>
  </si>
  <si>
    <t>TAHAP</t>
  </si>
  <si>
    <t>: I</t>
  </si>
  <si>
    <t>JUMLAH PENERIMAAN DD Rp. 392.760.000</t>
  </si>
  <si>
    <t>Darma, 20 Mei 2016</t>
  </si>
  <si>
    <t>: Rp</t>
  </si>
  <si>
    <t>Darma, 25 Mei 2016</t>
  </si>
  <si>
    <t>Telah dibayar lunas Oleh Bendahara</t>
  </si>
  <si>
    <t>Verifikasi oleh Sekretaris Desa</t>
  </si>
  <si>
    <t>Setuju dibayar Kepala Desa Darma</t>
  </si>
  <si>
    <t>BPD</t>
  </si>
  <si>
    <t>Darma, 14 Juni  2016</t>
  </si>
  <si>
    <t>: II</t>
  </si>
  <si>
    <t>BIDANG PELAKSANAAN PEMBANGUNAN</t>
  </si>
  <si>
    <t>Tunjangan Kepala Desa dan Perangkat Desa yang bersumber dari Tanah Kas Desa (Bengkok)</t>
  </si>
  <si>
    <t>Tambahan Penghasilan Aparatur Pemeritahan Desa (Tunjangan Kinerja)</t>
  </si>
  <si>
    <t>Operasional Kantor Pemerintahan Desa</t>
  </si>
  <si>
    <t>JUMLAH PENERIMAAN DD Rp. 261.840.000</t>
  </si>
  <si>
    <t>Cat Dulux(Coklat Tua)</t>
  </si>
  <si>
    <t>Cat Dulux(Krem)</t>
  </si>
  <si>
    <t>Amplas Kasar</t>
  </si>
  <si>
    <t>Amplas Halus</t>
  </si>
  <si>
    <t>Kuas</t>
  </si>
  <si>
    <t>Kuas Roll</t>
  </si>
  <si>
    <t>Batu Split</t>
  </si>
  <si>
    <t>Pasir Urug</t>
  </si>
  <si>
    <t>Benang Perfil</t>
  </si>
  <si>
    <t>SURAT PERMINTAAAN PEMBAYARAN</t>
  </si>
  <si>
    <t>PAGU ANGGARAN (Rp)</t>
  </si>
  <si>
    <t>PENCAIRAN S.D YG LALU (Rp)</t>
  </si>
  <si>
    <t>PERMINTAAN SEKARANG (Rp)</t>
  </si>
  <si>
    <t>JUMLAH SAMPAI SAAT INI (Rp)</t>
  </si>
  <si>
    <t>SISA DANA (Rp)</t>
  </si>
  <si>
    <t>Telah dilakukan verifikasi</t>
  </si>
  <si>
    <t>Setuju untuk dibayarkan</t>
  </si>
  <si>
    <t>DESA DARMA  KECAMATAN DARMA KABUPATEN KUNINGAN</t>
  </si>
  <si>
    <t>KODE REK</t>
  </si>
  <si>
    <t>INA SITI NURHASANAH, S.Pd</t>
  </si>
  <si>
    <t>Pembangunan Saluran dan Trotoar Jalan Utama Desa di RT. 014-015 RW. 02 Dusun Paleben</t>
  </si>
  <si>
    <t>Pengadaan PDH Coklat Kaki</t>
  </si>
  <si>
    <t>Kegiatan pendukung kegiatan ekonomi baik yang dikembangkan oleh BUM Desa maupun oleh kelompok usaha masyarakat Desa lainnya</t>
  </si>
  <si>
    <t>Kegiatan Pembinaan Lembaga Kemasyarakatan</t>
  </si>
  <si>
    <t>Pembinaan BPD, LPM, DKM, PKK, Karang Taruna</t>
  </si>
  <si>
    <t>Ulang Tahun Desa dan Haol Pendiri Desa Darma</t>
  </si>
  <si>
    <t>- Kegiatan PHBI Peringatan Isro Mi'raj Nabi Muhammad saw</t>
  </si>
  <si>
    <t>- Honor Penceramah</t>
  </si>
  <si>
    <t>- kegiatan Peringatan Sumpah Pemuda</t>
  </si>
  <si>
    <t>- Lomba Kreasi Pemuda</t>
  </si>
  <si>
    <t>- Lomba Memasak Remaja Putri</t>
  </si>
  <si>
    <t>- Study banding pengelolaan sampah</t>
  </si>
  <si>
    <t>- Upah Pekerja</t>
  </si>
  <si>
    <t>30%</t>
  </si>
  <si>
    <t>Jml</t>
  </si>
  <si>
    <t>Sat</t>
  </si>
  <si>
    <t>Kl</t>
  </si>
  <si>
    <t>potongan siltap</t>
  </si>
  <si>
    <t>- Belanja Komputer</t>
  </si>
  <si>
    <t>- Belanja Printer</t>
  </si>
  <si>
    <t>Unit</t>
  </si>
  <si>
    <t>- Belanja Seragam Batik BPD</t>
  </si>
  <si>
    <t>- Papan Monografi Data Penduduk</t>
  </si>
  <si>
    <t>Set</t>
  </si>
  <si>
    <t>Belanja Barang Bacaan Produk Hukum</t>
  </si>
  <si>
    <t>- Papan Struktur Organisasi</t>
  </si>
  <si>
    <t>- Upah Tukang</t>
  </si>
  <si>
    <t>Hok</t>
  </si>
  <si>
    <t>HOK</t>
  </si>
  <si>
    <t>Hasil Usaha BUMDes</t>
  </si>
  <si>
    <t>Hasil Tanah Kas Desa</t>
  </si>
  <si>
    <t xml:space="preserve">Hasil Asset </t>
  </si>
  <si>
    <t>Tambatan Perahu</t>
  </si>
  <si>
    <t>Tempat Pemandian Umum</t>
  </si>
  <si>
    <t>Jaringan Irigasi</t>
  </si>
  <si>
    <t>Lain-Lain Kekayaan Milik Desa (Bangunan Dll)</t>
  </si>
  <si>
    <t>Hasil Swadaya, Partisipasi dan Gotong Royong</t>
  </si>
  <si>
    <t>Swadaya dalam bentuk uang</t>
  </si>
  <si>
    <t>Lain-Lain Pendapatan Asli Desa yang Sah</t>
  </si>
  <si>
    <t>Pungutan Desa</t>
  </si>
  <si>
    <t>Bunga Bank</t>
  </si>
  <si>
    <t>OW+BUMd</t>
  </si>
  <si>
    <t>Bantuan Keuangan Peningkatan Infrastruktur Desa</t>
  </si>
  <si>
    <t>Hasil Kerja Sama dengan Pihak ke Tiga</t>
  </si>
  <si>
    <t>Bantuan Perusahaan</t>
  </si>
  <si>
    <t>Hibah dan Sumbangan dari pihak ke-3 yang tidak mengikat</t>
  </si>
  <si>
    <t>Bantuan Operasional MD/MDTK</t>
  </si>
  <si>
    <t>Tunjangan Kepala Desa dan Perangkat yang bersumber dari Tanah Kas Desa</t>
  </si>
  <si>
    <t>: PENYELENGGARAAN PEMERINTAHAN DESA</t>
  </si>
  <si>
    <t>: Belaja Pegawai</t>
  </si>
  <si>
    <t>Siltap Kepala Desa dan Perangkat Desa</t>
  </si>
  <si>
    <t>Kaur Umum</t>
  </si>
  <si>
    <t>Kaur Keuangan</t>
  </si>
  <si>
    <t>Kasi</t>
  </si>
  <si>
    <t>Kadus</t>
  </si>
  <si>
    <t>Skretaris Desa</t>
  </si>
  <si>
    <t>16.Anak Kadus Gn.luhur</t>
  </si>
  <si>
    <t>INA SITI NURHASANAH</t>
  </si>
  <si>
    <t>PERHITUNGAN BELANJA PEGAWAI TAHUN 2017</t>
  </si>
  <si>
    <t>Kadus Pakuwon</t>
  </si>
  <si>
    <t>Kadus Paleben</t>
  </si>
  <si>
    <t>Kadus Ciook</t>
  </si>
  <si>
    <t>Kadus Gn.Luhur</t>
  </si>
  <si>
    <t>Kadus Kopeng</t>
  </si>
  <si>
    <t>Tunjangan Anak</t>
  </si>
  <si>
    <t>Jmlh Anak</t>
  </si>
  <si>
    <t>Per Bulan</t>
  </si>
  <si>
    <t>Tunjangan TPKD</t>
  </si>
  <si>
    <t>Tunjangan Pet.Registrat</t>
  </si>
  <si>
    <t>Potongan Siltap utk BPJS</t>
  </si>
  <si>
    <t>Penghasilan</t>
  </si>
  <si>
    <t>Kadus Gunungluhur</t>
  </si>
  <si>
    <t>Tunjangan Istri/Suami</t>
  </si>
  <si>
    <t>Ketua 20%</t>
  </si>
  <si>
    <t>Wakil Ketua 15%</t>
  </si>
  <si>
    <t>Sekretaris 10%</t>
  </si>
  <si>
    <t>anggota 55%</t>
  </si>
  <si>
    <t>umk</t>
  </si>
  <si>
    <t>BPJS Ketenagakerjaan</t>
  </si>
  <si>
    <t>kasi (Ketua)</t>
  </si>
  <si>
    <t>Kasi (Ketua)</t>
  </si>
  <si>
    <t>kasi (Ketu)</t>
  </si>
  <si>
    <t>- Upah PeKerja</t>
  </si>
  <si>
    <t>Lbr</t>
  </si>
  <si>
    <t>- Pasir Pasang</t>
  </si>
  <si>
    <t>- Pasir Cor</t>
  </si>
  <si>
    <t>- Batu Belah</t>
  </si>
  <si>
    <t>- Bata Merah</t>
  </si>
  <si>
    <t>- Semen PC 50 kg</t>
  </si>
  <si>
    <t>- Besi Beton 6 mm</t>
  </si>
  <si>
    <t>- Besi Beton 12 mm</t>
  </si>
  <si>
    <t>- Kawat Beton</t>
  </si>
  <si>
    <t>- Batu Split</t>
  </si>
  <si>
    <t>- Kusen</t>
  </si>
  <si>
    <t>- Paku 1-3 cm</t>
  </si>
  <si>
    <t>- Paku 4-7/5-7</t>
  </si>
  <si>
    <t>- Closet Jongkok</t>
  </si>
  <si>
    <t>- Pipa PVC 3"</t>
  </si>
  <si>
    <t>- Plamir</t>
  </si>
  <si>
    <t>- Papan Bekisting</t>
  </si>
  <si>
    <t>- Bambu</t>
  </si>
  <si>
    <t>- Cangkul</t>
  </si>
  <si>
    <t>- Sekop</t>
  </si>
  <si>
    <t>- Ember</t>
  </si>
  <si>
    <t>- Linggis</t>
  </si>
  <si>
    <t>Bb</t>
  </si>
  <si>
    <t>Btg</t>
  </si>
  <si>
    <t>Darma, 30 Maret 2017</t>
  </si>
  <si>
    <t>Penyelenggaraan PHBN</t>
  </si>
  <si>
    <t>Pembinaan dan Pengelolaan Bidang Olah Raga</t>
  </si>
  <si>
    <t>Pembinaan dan Pengelolaan Pendidikan Keagamaan</t>
  </si>
  <si>
    <t>Penguatan Kesiapsiagaan Masyarakat dalam Menghadapi Bencana Alam</t>
  </si>
  <si>
    <t>Pemberdayaan Masyarakat  Berkebutuhan Khusus/ Disabilitas</t>
  </si>
  <si>
    <t>Peningkatan kapasitas kelompok pemuda</t>
  </si>
  <si>
    <t>Peningkatan kapasitas kelompok lainnya</t>
  </si>
  <si>
    <t>Pendidikan, pelatihan, dan penyuluhan bagi kepala Desa, perangkat Desa, dan Badan Pemusyawaratan Desa;</t>
  </si>
  <si>
    <t xml:space="preserve">Pencairan Dana Cadangan </t>
  </si>
  <si>
    <t xml:space="preserve">Hasil Kekayaan Desa Yang dipisahkan </t>
  </si>
  <si>
    <t>PENGELUARAN PEMBIAYAAN</t>
  </si>
  <si>
    <t>PENERIMAAN PEMBIAYAAN</t>
  </si>
  <si>
    <t>Pengembangan Sarana dan prasarana pendidikan dan pelatihan lainnya.</t>
  </si>
  <si>
    <t>Rehab Bangunan MCK Nurul Huda RT.06 RW.01 Dusun Pakuwon</t>
  </si>
  <si>
    <t>- Semen 50 Kg</t>
  </si>
  <si>
    <t>- Keramik (20x30)</t>
  </si>
  <si>
    <t>- Pintu Piber</t>
  </si>
  <si>
    <t>- Bak Air Fiber</t>
  </si>
  <si>
    <t>Kebutuhan Barang dan Material</t>
  </si>
  <si>
    <t>Semen</t>
  </si>
  <si>
    <t>Papan Bekisting</t>
  </si>
  <si>
    <t>Benang</t>
  </si>
  <si>
    <t>Ember</t>
  </si>
  <si>
    <r>
      <t xml:space="preserve">- Besi 6 " </t>
    </r>
    <r>
      <rPr>
        <sz val="9"/>
        <color theme="1"/>
        <rFont val="Calibri"/>
        <family val="2"/>
      </rPr>
      <t>Ø</t>
    </r>
  </si>
  <si>
    <t>- Besi 8 " Ø</t>
  </si>
  <si>
    <t>- Besi 10 " Ø</t>
  </si>
  <si>
    <t>- Pengki</t>
  </si>
  <si>
    <t>- Paku 1-3</t>
  </si>
  <si>
    <t>- Paku Campur</t>
  </si>
  <si>
    <t>- Pipa PVC 1 1/2"</t>
  </si>
  <si>
    <t>- Keni 3"</t>
  </si>
  <si>
    <t>- Kran Air</t>
  </si>
  <si>
    <t>- Cat Tembok</t>
  </si>
  <si>
    <t>- Roster Beton 15/25</t>
  </si>
  <si>
    <t>- Semen</t>
  </si>
  <si>
    <t>- Besi 6"</t>
  </si>
  <si>
    <t>- Besi 8"</t>
  </si>
  <si>
    <t>- Besi 10"</t>
  </si>
  <si>
    <t>- Rooster beton 15/25</t>
  </si>
  <si>
    <t>- Pipa Pvc 2"</t>
  </si>
  <si>
    <t>- Paku 5-7</t>
  </si>
  <si>
    <t>- Pipa Pvc 3"</t>
  </si>
  <si>
    <t>- Galian Tanah(11x3x3)</t>
  </si>
  <si>
    <t xml:space="preserve">- Pengki </t>
  </si>
  <si>
    <t>- Besi Beton 8" mm</t>
  </si>
  <si>
    <t>Pembangunan Saluran dan Gang di RT.32-33-34 RW.05 Dusun Kopeng</t>
  </si>
  <si>
    <t>480x1 m</t>
  </si>
  <si>
    <t>Air</t>
  </si>
  <si>
    <t>Besi L</t>
  </si>
  <si>
    <t>- Galian Tanah(480x0.40x0.50)</t>
  </si>
  <si>
    <t>- Hong D30"</t>
  </si>
  <si>
    <t>- Besi L</t>
  </si>
  <si>
    <t>- Paku</t>
  </si>
  <si>
    <t>- Urugan Tanah Kembali</t>
  </si>
  <si>
    <t>Buis/Hong D20</t>
  </si>
  <si>
    <t>- Papan Bouplang</t>
  </si>
  <si>
    <t>- Benang Perfil</t>
  </si>
  <si>
    <t>- Buis/Hong D20"</t>
  </si>
  <si>
    <t>"- Batu Belah</t>
  </si>
  <si>
    <t>360m</t>
  </si>
  <si>
    <t>- Buis/Hong D30</t>
  </si>
  <si>
    <t>- Galian Tanah dan Pasang Buis</t>
  </si>
  <si>
    <t>Darma, Maret 2017</t>
  </si>
  <si>
    <t>Pembangunan Gang dan Saluran RT.020/03 Blok Pasirjati Dusun Ciook</t>
  </si>
  <si>
    <t>buis/Hong 1/2 D40</t>
  </si>
  <si>
    <t>papan Bouplank</t>
  </si>
  <si>
    <t>Papan Perfil</t>
  </si>
  <si>
    <t>Paku 5-7</t>
  </si>
  <si>
    <t>- Buis/ Hong 1/2 D40"</t>
  </si>
  <si>
    <t>90M</t>
  </si>
  <si>
    <t>Har-Sat</t>
  </si>
  <si>
    <t>Minyak Tanah</t>
  </si>
  <si>
    <t>Alat Bantu</t>
  </si>
  <si>
    <t xml:space="preserve">Pasir </t>
  </si>
  <si>
    <t>Sirtu/Pasir Kasar</t>
  </si>
  <si>
    <t>- Minyak Tanah</t>
  </si>
  <si>
    <t>- Alat Bantu</t>
  </si>
  <si>
    <t>- Kayu Bakar</t>
  </si>
  <si>
    <t>Liter</t>
  </si>
  <si>
    <t>Drum</t>
  </si>
  <si>
    <t>Pembangunan Gang (Cor Tumbuk)RT.019/03 Blok Situpatinggi Dusun Ciook</t>
  </si>
  <si>
    <t>100x1,20m</t>
  </si>
  <si>
    <t>- Paku 2-5</t>
  </si>
  <si>
    <t>Pembangunan Gang (Cor Tumbuk)RT.021/03 Blok Cilamba Dusun Ciook</t>
  </si>
  <si>
    <t xml:space="preserve">- Pasir Pasang </t>
  </si>
  <si>
    <t>150x1x0.10 m</t>
  </si>
  <si>
    <t>- Sirtu Tersaring</t>
  </si>
  <si>
    <t>15x0.40x0.40</t>
  </si>
  <si>
    <t>Pembangunan Drainse RT.06/01 Dusun Pakuwon</t>
  </si>
  <si>
    <t>- Buis/Hong 1/2 D40</t>
  </si>
  <si>
    <t>Pembangunan Pondasi dan Gang Sawah Kaler RT.13 Blok Pasar Dusun Paleben</t>
  </si>
  <si>
    <t xml:space="preserve">n </t>
  </si>
  <si>
    <t>180x1.20m</t>
  </si>
  <si>
    <t xml:space="preserve">Ember </t>
  </si>
  <si>
    <t>- Galian Tanah untuk Pondasi</t>
  </si>
  <si>
    <t>- Papan Bouplank</t>
  </si>
  <si>
    <t>- Upah Angkut Material</t>
  </si>
  <si>
    <t>Dm</t>
  </si>
  <si>
    <t>- Pasir Urug/Sirtu</t>
  </si>
  <si>
    <t xml:space="preserve">- Pasir Cor </t>
  </si>
  <si>
    <t>100x1x0.10m</t>
  </si>
  <si>
    <t>Har Sat</t>
  </si>
  <si>
    <t>Pembangunan Gang (Cor Tumbuk) RT.029/04 Blok Citimbang Dusun Gunungluhur</t>
  </si>
  <si>
    <t>170x1x0.10m</t>
  </si>
  <si>
    <t>Pembangunan Gang (Cor Tumbuk) RT.028/04 Blok Citimbang Dusun Gunungluhur</t>
  </si>
  <si>
    <t>150x1x0.07m</t>
  </si>
  <si>
    <t>x</t>
  </si>
  <si>
    <t>- Buis/Hong D30"</t>
  </si>
  <si>
    <t>- Galian Tanah dan Pemasangan Buis/hong</t>
  </si>
  <si>
    <t>Pembangunan Saluran dan Gang (Cor Tumbuk) RT.026/04 Blok GL Lebak Dusun Gunungluhur</t>
  </si>
  <si>
    <t>100x1x0.07m</t>
  </si>
  <si>
    <t>Pembangunan Saluran dan Gang (Cor Tumbuk) RT.025/04 Blok Sindanghurip Dusun Gunungluhur</t>
  </si>
  <si>
    <t>- Buis/Hong 1/2 D40"</t>
  </si>
  <si>
    <t>- Besi Wermws</t>
  </si>
  <si>
    <t>Kebtuhan Bahan dan Material</t>
  </si>
  <si>
    <t>Buis 1/2 D40"</t>
  </si>
  <si>
    <t xml:space="preserve">Batu Belah </t>
  </si>
  <si>
    <t>Besi Wermes</t>
  </si>
  <si>
    <t>Paku 2-5</t>
  </si>
  <si>
    <t>semen</t>
  </si>
  <si>
    <t>=</t>
  </si>
  <si>
    <t>Pembangunan Gang dan Drainase RT. 16, RT. 17 /RW.02 Dusun Paleben</t>
  </si>
  <si>
    <t>170x1x10</t>
  </si>
  <si>
    <t>Pembangunan Tembok Penahan Tanah(TPT)</t>
  </si>
  <si>
    <t>- Galian Tanah dan Buis D30"</t>
  </si>
  <si>
    <t>2.2.51</t>
  </si>
  <si>
    <t>Pembangunan Tembok Penahan Tanah RT. 028 RW.04 Blok Nanggewer Dusun Gunungluhur</t>
  </si>
  <si>
    <t>2.4.19</t>
  </si>
  <si>
    <t>- Benang perfil</t>
  </si>
  <si>
    <t>144 m3</t>
  </si>
  <si>
    <t xml:space="preserve">Pembangunan, Pembinaan dan Pengelolaan Pendidikan Anak Usia Dini </t>
  </si>
  <si>
    <t xml:space="preserve">: Pembangunan, Pembinaan dan Pengelolaan Pendidikan Anak Usia Dini </t>
  </si>
  <si>
    <t>2.2.3</t>
  </si>
  <si>
    <t>Pengelolaan Pendidikan Anak Usia Dini</t>
  </si>
  <si>
    <t>- ATK ;</t>
  </si>
  <si>
    <t>Rim</t>
  </si>
  <si>
    <t>- Kertas HVS 3 rim/lembaga</t>
  </si>
  <si>
    <t>- Spidol White Board 1 Lusin/Lembaga</t>
  </si>
  <si>
    <t>Lsn</t>
  </si>
  <si>
    <t>- Spidol Warna 6 Set /Lembaga</t>
  </si>
  <si>
    <t>o</t>
  </si>
  <si>
    <t>: …………….</t>
  </si>
  <si>
    <t>: ………………</t>
  </si>
  <si>
    <t>Rehab Atap dan Pengecatan Gedung Bale Desa</t>
  </si>
  <si>
    <t>Peningkatan Kapasitas Kelompok Lainnya</t>
  </si>
  <si>
    <t>: Pembinaan dan Pengelolaan Bidang Olah Raga</t>
  </si>
  <si>
    <t>- Stimulan Operasional TKA/TPA/Madrasah</t>
  </si>
  <si>
    <t>Penguatan Kesiap siagaan Masyarakat dalam Menghadapi Bencana Alam</t>
  </si>
  <si>
    <t>2.4.25</t>
  </si>
  <si>
    <t>Pemberdayaan Masyarakat Berkebutuhan Khusus/Disabilitas</t>
  </si>
  <si>
    <t>- Kursi Roda</t>
  </si>
  <si>
    <t>Pengelolaan Informasi dan Komunikasi Desa</t>
  </si>
  <si>
    <t>: Pengelolaan Informasi dan Komunikasi Desa</t>
  </si>
  <si>
    <t>- Diseminasi Kegiatan  APBDesa</t>
  </si>
  <si>
    <t>- Radio Komunikasi</t>
  </si>
  <si>
    <t>Unt</t>
  </si>
  <si>
    <t>OJAN FAOJAN</t>
  </si>
  <si>
    <t>: Pembangunan Sarana Prasarana Desa Lainnya</t>
  </si>
  <si>
    <t>- Akua Proop</t>
  </si>
  <si>
    <t>- Seng Gelombang 0.30  80x180</t>
  </si>
  <si>
    <t>- Cat Tembok Metrolit Interior</t>
  </si>
  <si>
    <t>- Sewa Tangga Susun</t>
  </si>
  <si>
    <t>hri</t>
  </si>
  <si>
    <t>- Cat Tembok ICI (Dulux) Exterior (640m3)</t>
  </si>
  <si>
    <t>6 Lembaga</t>
  </si>
  <si>
    <t>- Stimulan Tutor PAUD,TK/RA</t>
  </si>
  <si>
    <t>p</t>
  </si>
  <si>
    <t>Pembangunan Drainase dan Gang RT.15 Dusun Paleben</t>
  </si>
  <si>
    <t>- Galian Tanah dan Pasang Buis 1/2 D30</t>
  </si>
  <si>
    <t>1000x1M</t>
  </si>
  <si>
    <t>- Buis 1/2 D30"</t>
  </si>
  <si>
    <t>Perbaikan Gang dan Pengaspalan RT.023, 24/03 Blok Ciook Dusun Ciook</t>
  </si>
  <si>
    <t>- Pasir Aspal</t>
  </si>
  <si>
    <t xml:space="preserve">- Aspal </t>
  </si>
  <si>
    <t>- Upah Tukang Terlatih</t>
  </si>
  <si>
    <t>50x1x0.07</t>
  </si>
  <si>
    <t>- Galian Tanah dan Pasang Buis D40"</t>
  </si>
  <si>
    <t>Pembangunan Drainase dan Gang RT.09(Gang bu Doyoh) Dusun Paleben</t>
  </si>
  <si>
    <t>- Buis D40"</t>
  </si>
  <si>
    <t>q</t>
  </si>
  <si>
    <t>r</t>
  </si>
  <si>
    <t>150x1x0.07</t>
  </si>
  <si>
    <t>Pembangunan Gang (Cor Tumbuk) RT.012/042 Blok Dukuh Kaler Dusun Paleben</t>
  </si>
  <si>
    <t>paleben</t>
  </si>
  <si>
    <t>ciook</t>
  </si>
  <si>
    <t>: Juni 2017</t>
  </si>
  <si>
    <t>: Mei 2017</t>
  </si>
  <si>
    <t>Pembangunan Drainse dan Gang RT.04, 05/01 Dusun Pakuwon</t>
  </si>
  <si>
    <t>Hr Sat</t>
  </si>
  <si>
    <t>Darma, Mei 2017</t>
  </si>
  <si>
    <t>TAHUN ANGGARAN 2017</t>
  </si>
  <si>
    <t>: Juni  2017</t>
  </si>
  <si>
    <t>: Pembangunan Tembok Penahan Tanah (TPT)</t>
  </si>
  <si>
    <t>IP</t>
  </si>
  <si>
    <t>5.40X3</t>
  </si>
  <si>
    <t>62m3</t>
  </si>
  <si>
    <t>- Koas Rol</t>
  </si>
  <si>
    <t>Bantuan Operasional Madrasah Kategori (PP)</t>
  </si>
  <si>
    <t>: Pembinaan dan Pengelolaan Pendidikan Keagamaan</t>
  </si>
  <si>
    <t>: Januari-Desember 2017</t>
  </si>
  <si>
    <t>: Juli 2017</t>
  </si>
  <si>
    <t>: September 2017</t>
  </si>
  <si>
    <t>: Penyelenggaraan PHBN</t>
  </si>
  <si>
    <t>: Kegiatan PHBI</t>
  </si>
  <si>
    <t>2.3.8</t>
  </si>
  <si>
    <t>: November 2017</t>
  </si>
  <si>
    <t>: Peningkatan Kapasitas Kelompok Lainnya</t>
  </si>
  <si>
    <t>: Penguatan Kesiap siagaan Masyarakat dalam menghadapi Bencana Alam</t>
  </si>
  <si>
    <t>: Pemberdayaan Masyarakat Berkebutuhan Khusus/Disabilitas</t>
  </si>
  <si>
    <t>Pembangunan, Pengelolaan dan Pembinaan Posyandu</t>
  </si>
  <si>
    <t>Pembangunan Madrasah Diniyah Takmiliyah (MDTK) Tahfidz</t>
  </si>
  <si>
    <t>: 01 TAHUN 2017</t>
  </si>
  <si>
    <t>: April 2017</t>
  </si>
  <si>
    <t>Penyelenggaraan PHBI</t>
  </si>
  <si>
    <t>Tunjangan Penghasilan Aparatur Pemerintah Desa (Tunjangan Kinerja)</t>
  </si>
  <si>
    <t>Tunjangan Penghasilan Aparatur Pemerintahan Desa (Tunjangan Kinerja)</t>
  </si>
  <si>
    <t>- Pelatihan SiskeuDes</t>
  </si>
  <si>
    <t>Penyelenggaraan Kegiatan Lainnya</t>
  </si>
  <si>
    <t>BKK-Kab</t>
  </si>
  <si>
    <t>70%setelah dikurangi Bankeu dan Hsil Bengkok</t>
  </si>
  <si>
    <t>BKK-Prov</t>
  </si>
  <si>
    <t>BKK-Prov (IP)</t>
  </si>
  <si>
    <t>2.4.20</t>
  </si>
  <si>
    <t>Peningkatan Bina Keluarga Balita(BKB)</t>
  </si>
  <si>
    <t>Honorarium TPK Barjas</t>
  </si>
  <si>
    <t>- Penanggung Jawab</t>
  </si>
  <si>
    <t>- Ketua</t>
  </si>
  <si>
    <t>- Sekretaris</t>
  </si>
  <si>
    <t>-Anggota</t>
  </si>
  <si>
    <t>Honorarium PPHP</t>
  </si>
  <si>
    <t>- Anggota</t>
  </si>
  <si>
    <t>Honorarium Panitia</t>
  </si>
  <si>
    <t>- kepala desa(P. Jawab)</t>
  </si>
  <si>
    <t>- kasi (Ketua)</t>
  </si>
  <si>
    <t>Honorarium Panitia Kegiatan</t>
  </si>
  <si>
    <t>Balligho APBDesa</t>
  </si>
  <si>
    <t>dd</t>
  </si>
  <si>
    <t>add</t>
  </si>
  <si>
    <t>Pad</t>
  </si>
  <si>
    <t>bkkkab</t>
  </si>
  <si>
    <t>paret</t>
  </si>
  <si>
    <t>tunjkin</t>
  </si>
  <si>
    <t>HarSAt</t>
  </si>
  <si>
    <t>Operasional Pemerintah Desa</t>
  </si>
  <si>
    <t>: Operasional Pemerintah Desa</t>
  </si>
  <si>
    <t>: Pembangunan, Pembinaan  dan Pengelolaan Posyandu</t>
  </si>
  <si>
    <t>Pembangunan, Pembinaan dan Pengelolaan Posyandu</t>
  </si>
  <si>
    <t>: Paret</t>
  </si>
  <si>
    <t>Paret</t>
  </si>
  <si>
    <t>REKAPITULASI PENGGUNAAN DANA DESA (DD) TAHUN 2017</t>
  </si>
  <si>
    <t>Darma, 27 September 2017</t>
  </si>
  <si>
    <t>REKAPITULASI PENGGUNAAN ALOKSI DANA DESA (ADD) TAHUN 2017</t>
  </si>
  <si>
    <t>REKAPITULASI PENGGUNAAN PADes TAHUN 2017</t>
  </si>
  <si>
    <t>Darma, 20 April  2017</t>
  </si>
  <si>
    <t>: PSDes</t>
  </si>
  <si>
    <t xml:space="preserve">- Pelatih </t>
  </si>
  <si>
    <t>- Stimulan Atlit/Ofisial</t>
  </si>
  <si>
    <t>Upah Kerja</t>
  </si>
  <si>
    <t>Darma, 17 April 2017</t>
  </si>
  <si>
    <t>: 17 April 2017</t>
  </si>
  <si>
    <t>Bantuan Operasional Madrasah Kategori (PP) BKK</t>
  </si>
  <si>
    <t xml:space="preserve">SILPA </t>
  </si>
  <si>
    <t>Pembangunan Sarana dan Prasarana kantor Desa</t>
  </si>
  <si>
    <t>Pembangunan Sarana dan Prasarana Kantor Desa</t>
  </si>
  <si>
    <t>: Pembangunan Sarana dan Prasarana Kantor Desa</t>
  </si>
  <si>
    <t>2.1.12</t>
  </si>
  <si>
    <t>2.1.13</t>
  </si>
  <si>
    <t>: Penyelenggaraan Kegiatan Lainnya</t>
  </si>
  <si>
    <t>: Oktober 2017</t>
  </si>
  <si>
    <t>Penyelengaraan Kegiatan Lainnya</t>
  </si>
  <si>
    <t>: BKKKab</t>
  </si>
  <si>
    <t>: BKK Provinsi</t>
  </si>
  <si>
    <t>Pembangunan Tembok Penahan Tanah  (TPT)</t>
  </si>
  <si>
    <t>Darma,17 April 2017</t>
  </si>
  <si>
    <t>Darma, 17 Aril 2017</t>
  </si>
  <si>
    <t>dan PADes</t>
  </si>
  <si>
    <t>DD (Diskresi)</t>
  </si>
  <si>
    <t>: Kegiatan pendukung kegiatan ekonomi baik yang dikembangkan oleh BUM Desa maupun oleh kelompok usaha masyarakat Desa lainnya</t>
  </si>
  <si>
    <t>: -</t>
  </si>
  <si>
    <t>2.4.2</t>
  </si>
  <si>
    <t>Kegiatan Pendudkung Kegiatan Ekonomi baik yang dikembangkan oleh BUM Desa maupun oleh Kelompok Usaha Masyarakat Desa Lainnya</t>
  </si>
  <si>
    <t>JumLAH</t>
  </si>
  <si>
    <t>- Penyertaan Modal BUMDes    Bersama</t>
  </si>
  <si>
    <t>pensertifikatan tanah Kas Desa dg no persil 012-00.</t>
  </si>
  <si>
    <t>3 Mei 2017</t>
  </si>
  <si>
    <t>Darma, 3 Mei 2017</t>
  </si>
  <si>
    <t>REKAP PERMINTAAAN PEMBAYARAN</t>
  </si>
  <si>
    <t>PENGHITUNGAN ADD DAN DD DESA DARMA</t>
  </si>
  <si>
    <t xml:space="preserve">        </t>
  </si>
  <si>
    <t>Bantuan Operasional Madrasah Kategori PP</t>
  </si>
  <si>
    <t>- Bantuan MD At Thohiriyah Darmaloka</t>
  </si>
  <si>
    <t>- Bantuan MD Al Hikmah</t>
  </si>
  <si>
    <t>ekbang</t>
  </si>
  <si>
    <t>HNR Ekbang 1 Tahun APBDes</t>
  </si>
  <si>
    <t>HNR Ket PTPKD 1 Tahun APBDes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</si>
</sst>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charset val="1"/>
      <scheme val="minor"/>
    </font>
    <font>
      <sz val="12"/>
      <color theme="1"/>
      <name val="Arial"/>
      <family val="2"/>
    </font>
    <font>
      <b/>
      <sz val="12"/>
      <color theme="1"/>
      <name val="Times New Roman"/>
      <family val="1"/>
    </font>
    <font>
      <sz val="12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1"/>
      <scheme val="minor"/>
    </font>
    <font>
      <sz val="9"/>
      <color theme="1"/>
      <name val="Bookman Old Style"/>
      <family val="1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Arial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0" tint="-0.249977111117893"/>
      <name val="Arial"/>
      <family val="2"/>
    </font>
    <font>
      <sz val="11"/>
      <name val="Calibri"/>
      <family val="2"/>
      <scheme val="minor"/>
    </font>
    <font>
      <sz val="9"/>
      <color theme="1"/>
      <name val="Calibri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name val="Times New Roman"/>
      <family val="1"/>
    </font>
    <font>
      <sz val="9"/>
      <color rgb="FFFF0000"/>
      <name val="Times New Roman"/>
      <family val="1"/>
    </font>
    <font>
      <b/>
      <sz val="9"/>
      <name val="Times New Roman"/>
      <family val="1"/>
    </font>
    <font>
      <sz val="9"/>
      <color rgb="FF000000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6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2" fillId="0" borderId="0"/>
    <xf numFmtId="43" fontId="32" fillId="0" borderId="0" applyFont="0" applyFill="0" applyBorder="0" applyAlignment="0" applyProtection="0"/>
  </cellStyleXfs>
  <cellXfs count="1046">
    <xf numFmtId="0" fontId="0" fillId="0" borderId="0" xfId="0"/>
    <xf numFmtId="0" fontId="5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3" fontId="2" fillId="0" borderId="9" xfId="2" applyNumberFormat="1" applyFont="1" applyBorder="1" applyAlignment="1">
      <alignment horizontal="right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Alignment="1">
      <alignment vertical="center"/>
    </xf>
    <xf numFmtId="0" fontId="8" fillId="0" borderId="0" xfId="0" applyNumberFormat="1" applyFont="1" applyAlignment="1">
      <alignment vertical="center"/>
    </xf>
    <xf numFmtId="0" fontId="2" fillId="5" borderId="9" xfId="0" applyNumberFormat="1" applyFont="1" applyFill="1" applyBorder="1" applyAlignment="1">
      <alignment horizontal="center" vertical="center" wrapText="1"/>
    </xf>
    <xf numFmtId="0" fontId="4" fillId="5" borderId="9" xfId="0" applyNumberFormat="1" applyFont="1" applyFill="1" applyBorder="1" applyAlignment="1">
      <alignment horizontal="center" vertical="center" wrapText="1"/>
    </xf>
    <xf numFmtId="0" fontId="4" fillId="5" borderId="9" xfId="0" applyNumberFormat="1" applyFont="1" applyFill="1" applyBorder="1" applyAlignment="1">
      <alignment horizontal="center" vertical="center"/>
    </xf>
    <xf numFmtId="3" fontId="4" fillId="5" borderId="9" xfId="0" applyNumberFormat="1" applyFont="1" applyFill="1" applyBorder="1" applyAlignment="1">
      <alignment horizontal="right" vertical="center"/>
    </xf>
    <xf numFmtId="3" fontId="4" fillId="0" borderId="0" xfId="0" applyNumberFormat="1" applyFont="1" applyAlignment="1">
      <alignment vertical="center"/>
    </xf>
    <xf numFmtId="0" fontId="2" fillId="5" borderId="9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right" vertical="center"/>
    </xf>
    <xf numFmtId="0" fontId="4" fillId="0" borderId="2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center" vertical="center" wrapText="1"/>
    </xf>
    <xf numFmtId="0" fontId="10" fillId="0" borderId="0" xfId="0" applyFont="1"/>
    <xf numFmtId="0" fontId="4" fillId="2" borderId="0" xfId="0" applyNumberFormat="1" applyFont="1" applyFill="1" applyAlignment="1">
      <alignment vertical="center"/>
    </xf>
    <xf numFmtId="0" fontId="7" fillId="5" borderId="9" xfId="0" applyNumberFormat="1" applyFont="1" applyFill="1" applyBorder="1" applyAlignment="1">
      <alignment horizontal="center" vertical="center"/>
    </xf>
    <xf numFmtId="0" fontId="7" fillId="5" borderId="9" xfId="0" applyNumberFormat="1" applyFont="1" applyFill="1" applyBorder="1" applyAlignment="1">
      <alignment vertical="center" wrapText="1"/>
    </xf>
    <xf numFmtId="3" fontId="7" fillId="5" borderId="9" xfId="0" applyNumberFormat="1" applyFont="1" applyFill="1" applyBorder="1" applyAlignment="1">
      <alignment horizontal="right" vertical="center"/>
    </xf>
    <xf numFmtId="0" fontId="8" fillId="5" borderId="9" xfId="0" applyNumberFormat="1" applyFont="1" applyFill="1" applyBorder="1" applyAlignment="1">
      <alignment horizontal="center" vertical="center" wrapText="1"/>
    </xf>
    <xf numFmtId="3" fontId="8" fillId="5" borderId="9" xfId="0" applyNumberFormat="1" applyFont="1" applyFill="1" applyBorder="1" applyAlignment="1">
      <alignment horizontal="right" vertical="center"/>
    </xf>
    <xf numFmtId="3" fontId="6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12" fillId="0" borderId="9" xfId="0" applyFont="1" applyBorder="1"/>
    <xf numFmtId="0" fontId="8" fillId="5" borderId="9" xfId="0" applyNumberFormat="1" applyFont="1" applyFill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3" fontId="12" fillId="0" borderId="0" xfId="0" applyNumberFormat="1" applyFont="1"/>
    <xf numFmtId="0" fontId="14" fillId="0" borderId="0" xfId="0" applyFont="1"/>
    <xf numFmtId="0" fontId="12" fillId="0" borderId="0" xfId="0" applyFont="1" applyBorder="1" applyAlignment="1">
      <alignment horizontal="justify" vertical="center"/>
    </xf>
    <xf numFmtId="3" fontId="12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/>
    </xf>
    <xf numFmtId="0" fontId="12" fillId="6" borderId="8" xfId="0" applyFont="1" applyFill="1" applyBorder="1" applyAlignment="1">
      <alignment horizontal="center" vertical="center" wrapText="1"/>
    </xf>
    <xf numFmtId="3" fontId="14" fillId="0" borderId="0" xfId="0" applyNumberFormat="1" applyFont="1"/>
    <xf numFmtId="0" fontId="14" fillId="0" borderId="0" xfId="0" applyFont="1" applyAlignment="1">
      <alignment vertical="center"/>
    </xf>
    <xf numFmtId="0" fontId="12" fillId="6" borderId="7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3" fontId="13" fillId="0" borderId="9" xfId="0" applyNumberFormat="1" applyFont="1" applyFill="1" applyBorder="1" applyAlignment="1">
      <alignment horizontal="right" vertical="center" wrapText="1"/>
    </xf>
    <xf numFmtId="0" fontId="15" fillId="0" borderId="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right" vertical="center" wrapText="1"/>
    </xf>
    <xf numFmtId="3" fontId="13" fillId="0" borderId="9" xfId="0" applyNumberFormat="1" applyFont="1" applyBorder="1" applyAlignment="1">
      <alignment horizontal="right" vertical="center" wrapText="1"/>
    </xf>
    <xf numFmtId="0" fontId="12" fillId="0" borderId="9" xfId="0" applyFont="1" applyBorder="1" applyAlignment="1">
      <alignment horizontal="center" vertical="center" wrapText="1"/>
    </xf>
    <xf numFmtId="41" fontId="12" fillId="0" borderId="11" xfId="2" applyFont="1" applyBorder="1" applyAlignment="1">
      <alignment horizontal="right" vertical="center" wrapText="1"/>
    </xf>
    <xf numFmtId="3" fontId="12" fillId="0" borderId="9" xfId="0" applyNumberFormat="1" applyFont="1" applyBorder="1" applyAlignment="1">
      <alignment horizontal="right" vertical="center" wrapText="1"/>
    </xf>
    <xf numFmtId="41" fontId="13" fillId="0" borderId="11" xfId="2" applyFont="1" applyBorder="1" applyAlignment="1">
      <alignment horizontal="right" vertical="center" wrapText="1"/>
    </xf>
    <xf numFmtId="3" fontId="13" fillId="0" borderId="9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3" fontId="13" fillId="0" borderId="11" xfId="0" applyNumberFormat="1" applyFont="1" applyBorder="1" applyAlignment="1">
      <alignment horizontal="right" vertical="center" wrapText="1"/>
    </xf>
    <xf numFmtId="3" fontId="13" fillId="0" borderId="9" xfId="0" applyNumberFormat="1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3" fontId="13" fillId="5" borderId="8" xfId="0" applyNumberFormat="1" applyFont="1" applyFill="1" applyBorder="1" applyAlignment="1">
      <alignment horizontal="right" vertical="center" wrapText="1"/>
    </xf>
    <xf numFmtId="0" fontId="16" fillId="0" borderId="9" xfId="0" applyFont="1" applyFill="1" applyBorder="1" applyAlignment="1">
      <alignment horizontal="center" vertical="center" wrapText="1"/>
    </xf>
    <xf numFmtId="3" fontId="13" fillId="0" borderId="12" xfId="0" applyNumberFormat="1" applyFont="1" applyBorder="1" applyAlignment="1">
      <alignment horizontal="center" vertical="center"/>
    </xf>
    <xf numFmtId="41" fontId="12" fillId="0" borderId="11" xfId="0" applyNumberFormat="1" applyFont="1" applyBorder="1" applyAlignment="1">
      <alignment horizontal="right" vertical="center" wrapText="1"/>
    </xf>
    <xf numFmtId="3" fontId="12" fillId="0" borderId="12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 wrapText="1"/>
    </xf>
    <xf numFmtId="3" fontId="12" fillId="0" borderId="10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 wrapText="1"/>
    </xf>
    <xf numFmtId="0" fontId="4" fillId="5" borderId="9" xfId="0" applyNumberFormat="1" applyFont="1" applyFill="1" applyBorder="1" applyAlignment="1">
      <alignment vertical="center" wrapText="1"/>
    </xf>
    <xf numFmtId="3" fontId="17" fillId="0" borderId="9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20" fillId="0" borderId="0" xfId="0" applyFont="1" applyBorder="1" applyAlignment="1">
      <alignment vertical="center"/>
    </xf>
    <xf numFmtId="3" fontId="20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3" fontId="19" fillId="0" borderId="0" xfId="0" applyNumberFormat="1" applyFont="1" applyAlignment="1">
      <alignment vertical="center"/>
    </xf>
    <xf numFmtId="3" fontId="17" fillId="6" borderId="4" xfId="0" applyNumberFormat="1" applyFont="1" applyFill="1" applyBorder="1" applyAlignment="1">
      <alignment horizontal="center" vertical="center" wrapText="1"/>
    </xf>
    <xf numFmtId="3" fontId="17" fillId="6" borderId="8" xfId="0" applyNumberFormat="1" applyFont="1" applyFill="1" applyBorder="1" applyAlignment="1">
      <alignment horizontal="center" vertical="center" wrapText="1"/>
    </xf>
    <xf numFmtId="3" fontId="17" fillId="6" borderId="7" xfId="0" applyNumberFormat="1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3" fontId="17" fillId="0" borderId="11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right" vertical="center" wrapText="1"/>
    </xf>
    <xf numFmtId="3" fontId="17" fillId="0" borderId="11" xfId="0" applyNumberFormat="1" applyFont="1" applyBorder="1" applyAlignment="1">
      <alignment horizontal="right" vertical="center" wrapText="1"/>
    </xf>
    <xf numFmtId="3" fontId="18" fillId="0" borderId="9" xfId="0" applyNumberFormat="1" applyFont="1" applyBorder="1" applyAlignment="1">
      <alignment horizontal="right" vertical="center" wrapText="1"/>
    </xf>
    <xf numFmtId="0" fontId="22" fillId="0" borderId="9" xfId="0" applyFont="1" applyBorder="1" applyAlignment="1">
      <alignment horizontal="center" vertical="center" wrapText="1"/>
    </xf>
    <xf numFmtId="3" fontId="17" fillId="0" borderId="9" xfId="0" applyNumberFormat="1" applyFont="1" applyBorder="1" applyAlignment="1">
      <alignment horizontal="right" vertical="center" wrapText="1"/>
    </xf>
    <xf numFmtId="3" fontId="17" fillId="0" borderId="12" xfId="0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3" fontId="17" fillId="0" borderId="9" xfId="2" applyNumberFormat="1" applyFont="1" applyBorder="1" applyAlignment="1">
      <alignment horizontal="right" vertical="center" wrapText="1"/>
    </xf>
    <xf numFmtId="0" fontId="18" fillId="0" borderId="9" xfId="0" applyFont="1" applyBorder="1" applyAlignment="1">
      <alignment horizontal="right" vertical="center" wrapText="1"/>
    </xf>
    <xf numFmtId="3" fontId="17" fillId="0" borderId="11" xfId="2" applyNumberFormat="1" applyFont="1" applyBorder="1" applyAlignment="1">
      <alignment horizontal="right" vertical="center" wrapText="1"/>
    </xf>
    <xf numFmtId="3" fontId="18" fillId="0" borderId="11" xfId="2" applyNumberFormat="1" applyFont="1" applyBorder="1" applyAlignment="1">
      <alignment horizontal="right" vertical="center" wrapText="1"/>
    </xf>
    <xf numFmtId="3" fontId="18" fillId="0" borderId="11" xfId="0" applyNumberFormat="1" applyFont="1" applyBorder="1" applyAlignment="1">
      <alignment horizontal="right" vertical="center" wrapText="1"/>
    </xf>
    <xf numFmtId="3" fontId="20" fillId="0" borderId="11" xfId="0" applyNumberFormat="1" applyFont="1" applyBorder="1" applyAlignment="1">
      <alignment vertical="center"/>
    </xf>
    <xf numFmtId="0" fontId="17" fillId="0" borderId="9" xfId="0" applyFont="1" applyBorder="1" applyAlignment="1">
      <alignment horizontal="center" vertical="center"/>
    </xf>
    <xf numFmtId="3" fontId="20" fillId="0" borderId="9" xfId="0" applyNumberFormat="1" applyFont="1" applyBorder="1" applyAlignment="1">
      <alignment vertical="center"/>
    </xf>
    <xf numFmtId="0" fontId="17" fillId="0" borderId="0" xfId="0" applyFont="1" applyAlignment="1">
      <alignment horizontal="center" vertical="center" wrapText="1"/>
    </xf>
    <xf numFmtId="3" fontId="20" fillId="0" borderId="0" xfId="0" applyNumberFormat="1" applyFont="1" applyAlignment="1">
      <alignment vertical="center" wrapText="1"/>
    </xf>
    <xf numFmtId="0" fontId="20" fillId="0" borderId="9" xfId="0" applyFont="1" applyBorder="1" applyAlignment="1">
      <alignment vertical="center"/>
    </xf>
    <xf numFmtId="0" fontId="0" fillId="0" borderId="11" xfId="0" applyBorder="1"/>
    <xf numFmtId="0" fontId="0" fillId="0" borderId="9" xfId="0" applyBorder="1"/>
    <xf numFmtId="3" fontId="0" fillId="0" borderId="9" xfId="0" applyNumberFormat="1" applyBorder="1"/>
    <xf numFmtId="3" fontId="24" fillId="0" borderId="9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/>
    <xf numFmtId="0" fontId="11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justify" textRotation="255"/>
    </xf>
    <xf numFmtId="0" fontId="0" fillId="0" borderId="9" xfId="0" applyBorder="1" applyAlignment="1">
      <alignment horizontal="center" vertical="center" textRotation="255"/>
    </xf>
    <xf numFmtId="3" fontId="0" fillId="0" borderId="9" xfId="0" applyNumberFormat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3" fontId="0" fillId="4" borderId="9" xfId="0" applyNumberFormat="1" applyFill="1" applyBorder="1"/>
    <xf numFmtId="0" fontId="25" fillId="0" borderId="9" xfId="0" applyFont="1" applyBorder="1" applyAlignment="1">
      <alignment horizontal="center" vertical="center"/>
    </xf>
    <xf numFmtId="0" fontId="25" fillId="0" borderId="9" xfId="0" applyFont="1" applyBorder="1"/>
    <xf numFmtId="3" fontId="25" fillId="0" borderId="9" xfId="0" applyNumberFormat="1" applyFont="1" applyBorder="1"/>
    <xf numFmtId="3" fontId="25" fillId="4" borderId="9" xfId="0" applyNumberFormat="1" applyFont="1" applyFill="1" applyBorder="1"/>
    <xf numFmtId="3" fontId="0" fillId="7" borderId="9" xfId="0" applyNumberFormat="1" applyFill="1" applyBorder="1"/>
    <xf numFmtId="3" fontId="25" fillId="7" borderId="9" xfId="0" applyNumberFormat="1" applyFont="1" applyFill="1" applyBorder="1"/>
    <xf numFmtId="0" fontId="0" fillId="0" borderId="9" xfId="0" applyBorder="1" applyAlignment="1">
      <alignment wrapText="1"/>
    </xf>
    <xf numFmtId="0" fontId="0" fillId="0" borderId="9" xfId="0" applyFill="1" applyBorder="1"/>
    <xf numFmtId="3" fontId="0" fillId="5" borderId="9" xfId="0" applyNumberFormat="1" applyFill="1" applyBorder="1"/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vertical="center"/>
    </xf>
    <xf numFmtId="3" fontId="0" fillId="0" borderId="9" xfId="0" applyNumberForma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/>
    <xf numFmtId="0" fontId="0" fillId="0" borderId="0" xfId="0" applyFont="1"/>
    <xf numFmtId="0" fontId="25" fillId="0" borderId="0" xfId="0" applyFont="1" applyAlignment="1">
      <alignment horizontal="center" vertical="center"/>
    </xf>
    <xf numFmtId="0" fontId="26" fillId="0" borderId="0" xfId="0" applyFont="1"/>
    <xf numFmtId="0" fontId="10" fillId="0" borderId="14" xfId="0" applyFont="1" applyBorder="1" applyAlignment="1">
      <alignment horizontal="center"/>
    </xf>
    <xf numFmtId="41" fontId="10" fillId="0" borderId="14" xfId="2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4" xfId="0" applyFont="1" applyBorder="1"/>
    <xf numFmtId="0" fontId="10" fillId="0" borderId="16" xfId="0" applyFont="1" applyBorder="1"/>
    <xf numFmtId="41" fontId="10" fillId="0" borderId="14" xfId="0" applyNumberFormat="1" applyFont="1" applyBorder="1"/>
    <xf numFmtId="9" fontId="10" fillId="0" borderId="14" xfId="0" applyNumberFormat="1" applyFont="1" applyBorder="1" applyAlignment="1">
      <alignment horizontal="center" vertical="center"/>
    </xf>
    <xf numFmtId="3" fontId="10" fillId="0" borderId="14" xfId="0" applyNumberFormat="1" applyFont="1" applyBorder="1"/>
    <xf numFmtId="3" fontId="10" fillId="0" borderId="14" xfId="0" applyNumberFormat="1" applyFont="1" applyBorder="1" applyAlignment="1">
      <alignment horizontal="right" vertical="center"/>
    </xf>
    <xf numFmtId="41" fontId="10" fillId="0" borderId="14" xfId="2" applyFont="1" applyBorder="1"/>
    <xf numFmtId="0" fontId="26" fillId="0" borderId="9" xfId="0" applyFont="1" applyBorder="1"/>
    <xf numFmtId="0" fontId="10" fillId="0" borderId="0" xfId="0" applyFont="1" applyAlignment="1">
      <alignment horizontal="center" vertical="center"/>
    </xf>
    <xf numFmtId="3" fontId="26" fillId="0" borderId="0" xfId="0" applyNumberFormat="1" applyFont="1"/>
    <xf numFmtId="3" fontId="3" fillId="0" borderId="0" xfId="0" applyNumberFormat="1" applyFont="1"/>
    <xf numFmtId="9" fontId="3" fillId="0" borderId="0" xfId="0" applyNumberFormat="1" applyFont="1"/>
    <xf numFmtId="0" fontId="3" fillId="0" borderId="0" xfId="0" applyFont="1"/>
    <xf numFmtId="0" fontId="10" fillId="0" borderId="17" xfId="0" applyFont="1" applyBorder="1" applyAlignment="1">
      <alignment horizontal="center" vertical="center" wrapText="1"/>
    </xf>
    <xf numFmtId="9" fontId="26" fillId="0" borderId="14" xfId="0" applyNumberFormat="1" applyFont="1" applyBorder="1" applyAlignment="1">
      <alignment horizontal="left" vertical="center"/>
    </xf>
    <xf numFmtId="0" fontId="10" fillId="0" borderId="15" xfId="0" applyFont="1" applyBorder="1"/>
    <xf numFmtId="9" fontId="10" fillId="0" borderId="15" xfId="0" applyNumberFormat="1" applyFont="1" applyBorder="1" applyAlignment="1">
      <alignment horizontal="center" vertical="center"/>
    </xf>
    <xf numFmtId="3" fontId="10" fillId="5" borderId="17" xfId="0" applyNumberFormat="1" applyFont="1" applyFill="1" applyBorder="1"/>
    <xf numFmtId="41" fontId="10" fillId="0" borderId="17" xfId="2" applyFont="1" applyBorder="1"/>
    <xf numFmtId="41" fontId="10" fillId="0" borderId="17" xfId="0" applyNumberFormat="1" applyFont="1" applyBorder="1"/>
    <xf numFmtId="3" fontId="10" fillId="0" borderId="17" xfId="0" applyNumberFormat="1" applyFont="1" applyBorder="1"/>
    <xf numFmtId="3" fontId="10" fillId="0" borderId="18" xfId="0" applyNumberFormat="1" applyFont="1" applyBorder="1"/>
    <xf numFmtId="41" fontId="10" fillId="4" borderId="18" xfId="0" applyNumberFormat="1" applyFont="1" applyFill="1" applyBorder="1"/>
    <xf numFmtId="0" fontId="26" fillId="0" borderId="0" xfId="0" applyFont="1" applyAlignment="1">
      <alignment horizontal="center"/>
    </xf>
    <xf numFmtId="0" fontId="10" fillId="0" borderId="1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41" fontId="10" fillId="5" borderId="15" xfId="0" applyNumberFormat="1" applyFont="1" applyFill="1" applyBorder="1"/>
    <xf numFmtId="9" fontId="10" fillId="0" borderId="14" xfId="0" applyNumberFormat="1" applyFont="1" applyBorder="1" applyAlignment="1">
      <alignment horizontal="center" vertical="center" wrapText="1"/>
    </xf>
    <xf numFmtId="41" fontId="27" fillId="4" borderId="14" xfId="0" applyNumberFormat="1" applyFont="1" applyFill="1" applyBorder="1"/>
    <xf numFmtId="0" fontId="10" fillId="0" borderId="14" xfId="0" applyFont="1" applyBorder="1" applyAlignment="1">
      <alignment wrapText="1"/>
    </xf>
    <xf numFmtId="3" fontId="10" fillId="0" borderId="14" xfId="0" applyNumberFormat="1" applyFont="1" applyBorder="1" applyAlignment="1">
      <alignment vertical="center"/>
    </xf>
    <xf numFmtId="3" fontId="10" fillId="0" borderId="10" xfId="0" applyNumberFormat="1" applyFont="1" applyBorder="1"/>
    <xf numFmtId="3" fontId="4" fillId="4" borderId="0" xfId="0" applyNumberFormat="1" applyFont="1" applyFill="1" applyAlignment="1">
      <alignment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3" fontId="13" fillId="0" borderId="7" xfId="0" applyNumberFormat="1" applyFont="1" applyBorder="1" applyAlignment="1">
      <alignment horizontal="right" vertical="center" wrapText="1"/>
    </xf>
    <xf numFmtId="3" fontId="12" fillId="0" borderId="9" xfId="0" applyNumberFormat="1" applyFont="1" applyBorder="1"/>
    <xf numFmtId="3" fontId="4" fillId="5" borderId="9" xfId="2" applyNumberFormat="1" applyFont="1" applyFill="1" applyBorder="1" applyAlignment="1">
      <alignment horizontal="right" vertical="center" wrapText="1"/>
    </xf>
    <xf numFmtId="0" fontId="0" fillId="0" borderId="12" xfId="0" applyBorder="1"/>
    <xf numFmtId="3" fontId="28" fillId="8" borderId="0" xfId="0" applyNumberFormat="1" applyFont="1" applyFill="1" applyAlignment="1">
      <alignment vertical="center"/>
    </xf>
    <xf numFmtId="3" fontId="4" fillId="5" borderId="9" xfId="0" applyNumberFormat="1" applyFont="1" applyFill="1" applyBorder="1" applyAlignment="1">
      <alignment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3" fontId="13" fillId="0" borderId="12" xfId="0" applyNumberFormat="1" applyFont="1" applyBorder="1" applyAlignment="1">
      <alignment horizontal="center" vertical="center" wrapText="1"/>
    </xf>
    <xf numFmtId="3" fontId="13" fillId="0" borderId="11" xfId="0" applyNumberFormat="1" applyFont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19" fillId="0" borderId="9" xfId="0" applyFont="1" applyBorder="1" applyAlignment="1">
      <alignment vertical="center"/>
    </xf>
    <xf numFmtId="3" fontId="19" fillId="0" borderId="11" xfId="0" applyNumberFormat="1" applyFont="1" applyBorder="1" applyAlignment="1">
      <alignment vertical="center"/>
    </xf>
    <xf numFmtId="3" fontId="18" fillId="0" borderId="9" xfId="0" applyNumberFormat="1" applyFont="1" applyBorder="1" applyAlignment="1">
      <alignment horizontal="center" vertical="center" wrapText="1"/>
    </xf>
    <xf numFmtId="9" fontId="19" fillId="0" borderId="9" xfId="0" applyNumberFormat="1" applyFont="1" applyBorder="1" applyAlignment="1">
      <alignment horizontal="center" vertical="center"/>
    </xf>
    <xf numFmtId="10" fontId="19" fillId="0" borderId="9" xfId="0" applyNumberFormat="1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vertical="center" wrapText="1"/>
    </xf>
    <xf numFmtId="0" fontId="26" fillId="0" borderId="0" xfId="0" applyFont="1" applyAlignment="1">
      <alignment vertical="center"/>
    </xf>
    <xf numFmtId="0" fontId="26" fillId="0" borderId="0" xfId="0" applyFont="1" applyBorder="1" applyAlignment="1">
      <alignment vertical="center"/>
    </xf>
    <xf numFmtId="0" fontId="0" fillId="0" borderId="0" xfId="0" applyFont="1" applyAlignment="1">
      <alignment horizontal="center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0" fillId="0" borderId="0" xfId="0" applyFont="1" applyAlignment="1"/>
    <xf numFmtId="0" fontId="26" fillId="6" borderId="4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29" fillId="6" borderId="9" xfId="0" applyFont="1" applyFill="1" applyBorder="1" applyAlignment="1">
      <alignment horizontal="center" vertical="center" wrapText="1"/>
    </xf>
    <xf numFmtId="0" fontId="26" fillId="6" borderId="10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3" fontId="10" fillId="0" borderId="9" xfId="0" applyNumberFormat="1" applyFont="1" applyFill="1" applyBorder="1" applyAlignment="1">
      <alignment horizontal="right" vertical="center" wrapText="1"/>
    </xf>
    <xf numFmtId="0" fontId="29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26" fillId="0" borderId="11" xfId="0" applyFont="1" applyBorder="1" applyAlignment="1">
      <alignment horizontal="right" vertical="center" wrapText="1"/>
    </xf>
    <xf numFmtId="3" fontId="10" fillId="0" borderId="9" xfId="0" applyNumberFormat="1" applyFont="1" applyBorder="1" applyAlignment="1">
      <alignment horizontal="right" vertical="center" wrapText="1"/>
    </xf>
    <xf numFmtId="0" fontId="26" fillId="0" borderId="9" xfId="0" applyFont="1" applyBorder="1" applyAlignment="1">
      <alignment horizontal="center" vertical="center" wrapText="1"/>
    </xf>
    <xf numFmtId="41" fontId="26" fillId="0" borderId="11" xfId="2" applyFont="1" applyBorder="1" applyAlignment="1">
      <alignment horizontal="right" vertical="center" wrapText="1"/>
    </xf>
    <xf numFmtId="3" fontId="26" fillId="0" borderId="9" xfId="0" applyNumberFormat="1" applyFont="1" applyBorder="1" applyAlignment="1">
      <alignment horizontal="right" vertical="center" wrapText="1"/>
    </xf>
    <xf numFmtId="0" fontId="10" fillId="0" borderId="9" xfId="0" applyFont="1" applyBorder="1" applyAlignment="1">
      <alignment horizontal="center" vertical="center" wrapText="1"/>
    </xf>
    <xf numFmtId="3" fontId="10" fillId="0" borderId="9" xfId="0" applyNumberFormat="1" applyFont="1" applyBorder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vertical="center"/>
    </xf>
    <xf numFmtId="0" fontId="0" fillId="0" borderId="10" xfId="0" quotePrefix="1" applyFont="1" applyBorder="1" applyAlignment="1">
      <alignment horizontal="justify" vertical="center"/>
    </xf>
    <xf numFmtId="3" fontId="26" fillId="0" borderId="9" xfId="0" applyNumberFormat="1" applyFont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0" fillId="0" borderId="10" xfId="0" quotePrefix="1" applyFont="1" applyBorder="1" applyAlignment="1">
      <alignment horizontal="justify" vertical="center" wrapText="1"/>
    </xf>
    <xf numFmtId="0" fontId="0" fillId="0" borderId="9" xfId="0" quotePrefix="1" applyFont="1" applyBorder="1" applyAlignment="1">
      <alignment horizontal="left" vertical="center" wrapText="1"/>
    </xf>
    <xf numFmtId="0" fontId="10" fillId="0" borderId="9" xfId="0" applyFont="1" applyBorder="1" applyAlignment="1">
      <alignment vertical="center" wrapText="1"/>
    </xf>
    <xf numFmtId="0" fontId="26" fillId="0" borderId="9" xfId="0" applyFont="1" applyBorder="1" applyAlignment="1">
      <alignment vertical="center"/>
    </xf>
    <xf numFmtId="0" fontId="26" fillId="0" borderId="9" xfId="0" applyFont="1" applyBorder="1" applyAlignment="1">
      <alignment horizontal="center" vertical="center"/>
    </xf>
    <xf numFmtId="0" fontId="0" fillId="0" borderId="10" xfId="0" quotePrefix="1" applyFont="1" applyBorder="1" applyAlignment="1">
      <alignment vertical="center"/>
    </xf>
    <xf numFmtId="0" fontId="25" fillId="0" borderId="9" xfId="0" applyFont="1" applyBorder="1" applyAlignment="1">
      <alignment horizontal="left" vertical="center" wrapText="1"/>
    </xf>
    <xf numFmtId="3" fontId="26" fillId="0" borderId="11" xfId="0" applyNumberFormat="1" applyFont="1" applyBorder="1" applyAlignment="1">
      <alignment horizontal="right" vertical="center" wrapText="1"/>
    </xf>
    <xf numFmtId="3" fontId="26" fillId="0" borderId="9" xfId="0" applyNumberFormat="1" applyFont="1" applyBorder="1" applyAlignment="1">
      <alignment vertical="center"/>
    </xf>
    <xf numFmtId="0" fontId="0" fillId="0" borderId="10" xfId="0" applyBorder="1"/>
    <xf numFmtId="0" fontId="17" fillId="0" borderId="12" xfId="0" applyFont="1" applyFill="1" applyBorder="1" applyAlignment="1">
      <alignment horizontal="center" vertical="center" wrapText="1"/>
    </xf>
    <xf numFmtId="0" fontId="0" fillId="0" borderId="10" xfId="0" quotePrefix="1" applyBorder="1" applyAlignment="1">
      <alignment horizontal="justify" vertical="center"/>
    </xf>
    <xf numFmtId="0" fontId="17" fillId="5" borderId="0" xfId="0" applyNumberFormat="1" applyFont="1" applyFill="1" applyBorder="1" applyAlignment="1">
      <alignment vertical="center" wrapText="1"/>
    </xf>
    <xf numFmtId="0" fontId="17" fillId="5" borderId="9" xfId="0" applyNumberFormat="1" applyFont="1" applyFill="1" applyBorder="1" applyAlignment="1">
      <alignment vertical="center" wrapText="1"/>
    </xf>
    <xf numFmtId="0" fontId="31" fillId="5" borderId="9" xfId="0" applyNumberFormat="1" applyFont="1" applyFill="1" applyBorder="1" applyAlignment="1">
      <alignment vertical="center" wrapText="1"/>
    </xf>
    <xf numFmtId="3" fontId="10" fillId="0" borderId="20" xfId="0" applyNumberFormat="1" applyFont="1" applyBorder="1"/>
    <xf numFmtId="41" fontId="10" fillId="0" borderId="16" xfId="2" applyFont="1" applyBorder="1"/>
    <xf numFmtId="3" fontId="10" fillId="0" borderId="9" xfId="0" applyNumberFormat="1" applyFont="1" applyBorder="1"/>
    <xf numFmtId="0" fontId="17" fillId="0" borderId="0" xfId="0" applyFont="1" applyAlignment="1">
      <alignment vertical="center"/>
    </xf>
    <xf numFmtId="0" fontId="17" fillId="0" borderId="0" xfId="0" applyFont="1"/>
    <xf numFmtId="3" fontId="17" fillId="0" borderId="0" xfId="0" applyNumberFormat="1" applyFont="1" applyAlignment="1">
      <alignment horizontal="left" vertical="center"/>
    </xf>
    <xf numFmtId="2" fontId="17" fillId="0" borderId="9" xfId="0" applyNumberFormat="1" applyFont="1" applyBorder="1" applyAlignment="1">
      <alignment horizontal="center" vertical="center" wrapText="1"/>
    </xf>
    <xf numFmtId="3" fontId="4" fillId="5" borderId="11" xfId="2" applyNumberFormat="1" applyFont="1" applyFill="1" applyBorder="1" applyAlignment="1">
      <alignment horizontal="right" vertical="center" wrapText="1"/>
    </xf>
    <xf numFmtId="3" fontId="26" fillId="0" borderId="11" xfId="0" applyNumberFormat="1" applyFont="1" applyBorder="1"/>
    <xf numFmtId="3" fontId="10" fillId="0" borderId="21" xfId="0" applyNumberFormat="1" applyFont="1" applyBorder="1"/>
    <xf numFmtId="3" fontId="12" fillId="0" borderId="7" xfId="0" applyNumberFormat="1" applyFont="1" applyBorder="1" applyAlignment="1">
      <alignment horizontal="center" vertical="center" wrapText="1"/>
    </xf>
    <xf numFmtId="41" fontId="12" fillId="0" borderId="7" xfId="2" applyFont="1" applyBorder="1" applyAlignment="1">
      <alignment horizontal="right" vertical="center" wrapText="1"/>
    </xf>
    <xf numFmtId="3" fontId="12" fillId="0" borderId="5" xfId="0" applyNumberFormat="1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vertical="center"/>
    </xf>
    <xf numFmtId="3" fontId="26" fillId="0" borderId="0" xfId="0" applyNumberFormat="1" applyFont="1" applyAlignment="1">
      <alignment vertical="center"/>
    </xf>
    <xf numFmtId="3" fontId="26" fillId="0" borderId="0" xfId="0" applyNumberFormat="1" applyFont="1" applyAlignment="1">
      <alignment vertical="top"/>
    </xf>
    <xf numFmtId="0" fontId="0" fillId="0" borderId="0" xfId="0" applyAlignment="1">
      <alignment horizontal="right"/>
    </xf>
    <xf numFmtId="3" fontId="18" fillId="0" borderId="11" xfId="0" applyNumberFormat="1" applyFont="1" applyFill="1" applyBorder="1" applyAlignment="1">
      <alignment horizontal="right" vertical="center" wrapText="1"/>
    </xf>
    <xf numFmtId="3" fontId="18" fillId="0" borderId="9" xfId="0" applyNumberFormat="1" applyFont="1" applyBorder="1" applyAlignment="1">
      <alignment vertical="center"/>
    </xf>
    <xf numFmtId="3" fontId="17" fillId="0" borderId="4" xfId="0" applyNumberFormat="1" applyFont="1" applyBorder="1" applyAlignment="1">
      <alignment horizontal="center" vertical="center" wrapText="1"/>
    </xf>
    <xf numFmtId="3" fontId="17" fillId="0" borderId="8" xfId="0" applyNumberFormat="1" applyFont="1" applyBorder="1" applyAlignment="1">
      <alignment horizontal="center" vertical="center" wrapText="1"/>
    </xf>
    <xf numFmtId="3" fontId="17" fillId="5" borderId="7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2" fillId="0" borderId="0" xfId="0" applyNumberFormat="1" applyFont="1" applyAlignment="1">
      <alignment horizontal="right" vertical="center"/>
    </xf>
    <xf numFmtId="3" fontId="2" fillId="5" borderId="9" xfId="0" applyNumberFormat="1" applyFont="1" applyFill="1" applyBorder="1" applyAlignment="1">
      <alignment horizontal="right" vertical="center" wrapText="1"/>
    </xf>
    <xf numFmtId="0" fontId="35" fillId="0" borderId="0" xfId="0" applyFont="1"/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4" fillId="5" borderId="9" xfId="0" applyNumberFormat="1" applyFont="1" applyFill="1" applyBorder="1" applyAlignment="1">
      <alignment horizontal="left" vertical="center" wrapText="1"/>
    </xf>
    <xf numFmtId="0" fontId="0" fillId="0" borderId="9" xfId="0" applyFont="1" applyBorder="1" applyAlignment="1">
      <alignment horizontal="center" vertical="center"/>
    </xf>
    <xf numFmtId="3" fontId="12" fillId="0" borderId="10" xfId="0" applyNumberFormat="1" applyFont="1" applyBorder="1" applyAlignment="1">
      <alignment horizontal="center" vertical="center" wrapText="1"/>
    </xf>
    <xf numFmtId="3" fontId="12" fillId="0" borderId="12" xfId="0" applyNumberFormat="1" applyFont="1" applyBorder="1" applyAlignment="1">
      <alignment horizontal="center" vertical="center" wrapText="1"/>
    </xf>
    <xf numFmtId="3" fontId="12" fillId="0" borderId="11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vertical="center"/>
    </xf>
    <xf numFmtId="0" fontId="13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/>
    </xf>
    <xf numFmtId="0" fontId="12" fillId="0" borderId="10" xfId="0" applyFont="1" applyFill="1" applyBorder="1" applyAlignment="1">
      <alignment horizontal="center" vertical="center" wrapText="1"/>
    </xf>
    <xf numFmtId="3" fontId="13" fillId="0" borderId="10" xfId="0" applyNumberFormat="1" applyFont="1" applyBorder="1" applyAlignment="1">
      <alignment horizontal="center" vertical="center" wrapText="1"/>
    </xf>
    <xf numFmtId="0" fontId="12" fillId="0" borderId="12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/>
    </xf>
    <xf numFmtId="0" fontId="22" fillId="6" borderId="9" xfId="0" applyFont="1" applyFill="1" applyBorder="1" applyAlignment="1">
      <alignment horizontal="center" vertical="center" wrapText="1"/>
    </xf>
    <xf numFmtId="3" fontId="12" fillId="0" borderId="10" xfId="0" applyNumberFormat="1" applyFont="1" applyBorder="1" applyAlignment="1">
      <alignment horizontal="center" vertical="center" wrapText="1"/>
    </xf>
    <xf numFmtId="3" fontId="12" fillId="0" borderId="12" xfId="0" applyNumberFormat="1" applyFont="1" applyBorder="1" applyAlignment="1">
      <alignment horizontal="center" vertical="center" wrapText="1"/>
    </xf>
    <xf numFmtId="3" fontId="12" fillId="0" borderId="11" xfId="0" applyNumberFormat="1" applyFont="1" applyBorder="1" applyAlignment="1">
      <alignment horizontal="center" vertical="center" wrapText="1"/>
    </xf>
    <xf numFmtId="0" fontId="12" fillId="0" borderId="12" xfId="0" applyFont="1" applyBorder="1"/>
    <xf numFmtId="0" fontId="12" fillId="0" borderId="11" xfId="0" applyFont="1" applyBorder="1"/>
    <xf numFmtId="0" fontId="12" fillId="0" borderId="0" xfId="0" applyFont="1" applyAlignment="1">
      <alignment horizontal="center" vertical="center"/>
    </xf>
    <xf numFmtId="0" fontId="12" fillId="0" borderId="10" xfId="0" applyFont="1" applyBorder="1"/>
    <xf numFmtId="43" fontId="25" fillId="0" borderId="9" xfId="0" applyNumberFormat="1" applyFont="1" applyBorder="1"/>
    <xf numFmtId="0" fontId="10" fillId="0" borderId="15" xfId="0" applyFont="1" applyBorder="1" applyAlignment="1">
      <alignment vertical="center"/>
    </xf>
    <xf numFmtId="41" fontId="25" fillId="0" borderId="9" xfId="0" applyNumberFormat="1" applyFont="1" applyBorder="1" applyAlignment="1">
      <alignment vertical="center"/>
    </xf>
    <xf numFmtId="3" fontId="10" fillId="0" borderId="0" xfId="0" applyNumberFormat="1" applyFont="1"/>
    <xf numFmtId="3" fontId="10" fillId="0" borderId="14" xfId="0" applyNumberFormat="1" applyFont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/>
    </xf>
    <xf numFmtId="3" fontId="13" fillId="0" borderId="9" xfId="0" applyNumberFormat="1" applyFont="1" applyBorder="1"/>
    <xf numFmtId="3" fontId="13" fillId="0" borderId="4" xfId="0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/>
    <xf numFmtId="3" fontId="13" fillId="0" borderId="0" xfId="0" applyNumberFormat="1" applyFont="1"/>
    <xf numFmtId="0" fontId="13" fillId="0" borderId="0" xfId="0" applyFont="1" applyAlignment="1">
      <alignment vertical="center"/>
    </xf>
    <xf numFmtId="0" fontId="28" fillId="5" borderId="0" xfId="0" applyNumberFormat="1" applyFont="1" applyFill="1" applyAlignment="1">
      <alignment vertical="center"/>
    </xf>
    <xf numFmtId="0" fontId="4" fillId="5" borderId="0" xfId="0" applyNumberFormat="1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3" fontId="2" fillId="5" borderId="11" xfId="2" applyNumberFormat="1" applyFont="1" applyFill="1" applyBorder="1" applyAlignment="1">
      <alignment horizontal="right" vertical="center" wrapText="1"/>
    </xf>
    <xf numFmtId="3" fontId="12" fillId="0" borderId="9" xfId="0" applyNumberFormat="1" applyFont="1" applyBorder="1" applyAlignment="1">
      <alignment horizontal="center" vertical="center" wrapText="1"/>
    </xf>
    <xf numFmtId="3" fontId="12" fillId="0" borderId="9" xfId="0" applyNumberFormat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3" fontId="13" fillId="0" borderId="0" xfId="0" applyNumberFormat="1" applyFont="1" applyAlignment="1">
      <alignment horizontal="left" vertical="center"/>
    </xf>
    <xf numFmtId="0" fontId="12" fillId="0" borderId="9" xfId="0" quotePrefix="1" applyFont="1" applyBorder="1" applyAlignment="1">
      <alignment horizontal="center" vertical="center"/>
    </xf>
    <xf numFmtId="0" fontId="12" fillId="5" borderId="0" xfId="0" applyFont="1" applyFill="1"/>
    <xf numFmtId="0" fontId="13" fillId="5" borderId="0" xfId="0" applyFont="1" applyFill="1" applyAlignment="1">
      <alignment horizontal="left" vertical="center"/>
    </xf>
    <xf numFmtId="0" fontId="13" fillId="5" borderId="0" xfId="0" applyFont="1" applyFill="1"/>
    <xf numFmtId="3" fontId="13" fillId="5" borderId="0" xfId="0" applyNumberFormat="1" applyFont="1" applyFill="1"/>
    <xf numFmtId="0" fontId="12" fillId="5" borderId="0" xfId="0" applyFont="1" applyFill="1" applyAlignment="1">
      <alignment horizontal="center" vertical="center"/>
    </xf>
    <xf numFmtId="3" fontId="12" fillId="5" borderId="0" xfId="0" applyNumberFormat="1" applyFont="1" applyFill="1"/>
    <xf numFmtId="3" fontId="13" fillId="5" borderId="4" xfId="0" applyNumberFormat="1" applyFont="1" applyFill="1" applyBorder="1" applyAlignment="1">
      <alignment horizontal="center" vertical="center"/>
    </xf>
    <xf numFmtId="3" fontId="13" fillId="5" borderId="8" xfId="0" applyNumberFormat="1" applyFont="1" applyFill="1" applyBorder="1" applyAlignment="1">
      <alignment horizontal="center" vertical="center"/>
    </xf>
    <xf numFmtId="0" fontId="12" fillId="5" borderId="9" xfId="0" applyFont="1" applyFill="1" applyBorder="1"/>
    <xf numFmtId="0" fontId="13" fillId="5" borderId="9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3" fillId="5" borderId="10" xfId="0" applyFont="1" applyFill="1" applyBorder="1"/>
    <xf numFmtId="3" fontId="13" fillId="5" borderId="9" xfId="0" applyNumberFormat="1" applyFont="1" applyFill="1" applyBorder="1" applyAlignment="1">
      <alignment vertical="center"/>
    </xf>
    <xf numFmtId="3" fontId="4" fillId="5" borderId="9" xfId="0" applyNumberFormat="1" applyFont="1" applyFill="1" applyBorder="1" applyAlignment="1">
      <alignment horizontal="right" vertical="center" wrapText="1"/>
    </xf>
    <xf numFmtId="0" fontId="2" fillId="5" borderId="9" xfId="0" applyNumberFormat="1" applyFont="1" applyFill="1" applyBorder="1" applyAlignment="1">
      <alignment vertical="center" wrapText="1"/>
    </xf>
    <xf numFmtId="0" fontId="4" fillId="5" borderId="10" xfId="0" applyNumberFormat="1" applyFont="1" applyFill="1" applyBorder="1" applyAlignment="1">
      <alignment horizontal="center" vertical="center" wrapText="1"/>
    </xf>
    <xf numFmtId="0" fontId="4" fillId="5" borderId="9" xfId="0" applyNumberFormat="1" applyFont="1" applyFill="1" applyBorder="1" applyAlignment="1">
      <alignment vertical="center"/>
    </xf>
    <xf numFmtId="0" fontId="4" fillId="5" borderId="10" xfId="0" applyNumberFormat="1" applyFont="1" applyFill="1" applyBorder="1" applyAlignment="1">
      <alignment horizontal="center" vertical="center"/>
    </xf>
    <xf numFmtId="3" fontId="2" fillId="5" borderId="9" xfId="0" applyNumberFormat="1" applyFont="1" applyFill="1" applyBorder="1" applyAlignment="1">
      <alignment vertical="center"/>
    </xf>
    <xf numFmtId="0" fontId="37" fillId="5" borderId="9" xfId="0" applyFont="1" applyFill="1" applyBorder="1" applyAlignment="1">
      <alignment horizontal="left" vertical="center" wrapText="1"/>
    </xf>
    <xf numFmtId="0" fontId="8" fillId="5" borderId="9" xfId="0" applyNumberFormat="1" applyFont="1" applyFill="1" applyBorder="1" applyAlignment="1">
      <alignment vertical="center" wrapText="1"/>
    </xf>
    <xf numFmtId="3" fontId="4" fillId="5" borderId="9" xfId="1" applyNumberFormat="1" applyFont="1" applyFill="1" applyBorder="1" applyAlignment="1">
      <alignment horizontal="right" vertical="center" wrapText="1"/>
    </xf>
    <xf numFmtId="3" fontId="4" fillId="5" borderId="11" xfId="0" applyNumberFormat="1" applyFont="1" applyFill="1" applyBorder="1" applyAlignment="1">
      <alignment horizontal="right" vertical="center"/>
    </xf>
    <xf numFmtId="3" fontId="7" fillId="5" borderId="9" xfId="0" applyNumberFormat="1" applyFont="1" applyFill="1" applyBorder="1" applyAlignment="1">
      <alignment vertical="center"/>
    </xf>
    <xf numFmtId="0" fontId="4" fillId="5" borderId="0" xfId="0" applyNumberFormat="1" applyFont="1" applyFill="1" applyBorder="1" applyAlignment="1">
      <alignment vertical="center"/>
    </xf>
    <xf numFmtId="3" fontId="4" fillId="5" borderId="0" xfId="0" applyNumberFormat="1" applyFont="1" applyFill="1" applyBorder="1" applyAlignment="1">
      <alignment horizontal="right" vertical="center"/>
    </xf>
    <xf numFmtId="0" fontId="4" fillId="5" borderId="0" xfId="0" applyNumberFormat="1" applyFont="1" applyFill="1" applyBorder="1" applyAlignment="1">
      <alignment horizontal="center" vertical="center"/>
    </xf>
    <xf numFmtId="3" fontId="12" fillId="0" borderId="8" xfId="0" applyNumberFormat="1" applyFont="1" applyBorder="1" applyAlignment="1">
      <alignment horizontal="right" vertical="center"/>
    </xf>
    <xf numFmtId="3" fontId="13" fillId="0" borderId="8" xfId="0" applyNumberFormat="1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3" fontId="12" fillId="0" borderId="9" xfId="0" applyNumberFormat="1" applyFont="1" applyBorder="1" applyAlignment="1">
      <alignment vertical="center"/>
    </xf>
    <xf numFmtId="3" fontId="0" fillId="0" borderId="0" xfId="0" applyNumberFormat="1" applyAlignment="1">
      <alignment horizontal="right" vertical="center"/>
    </xf>
    <xf numFmtId="0" fontId="12" fillId="0" borderId="0" xfId="0" applyFont="1" applyAlignment="1">
      <alignment horizontal="center"/>
    </xf>
    <xf numFmtId="0" fontId="12" fillId="0" borderId="0" xfId="0" applyFont="1" applyAlignment="1"/>
    <xf numFmtId="0" fontId="2" fillId="0" borderId="0" xfId="0" applyFont="1"/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7" fillId="0" borderId="10" xfId="0" applyFont="1" applyBorder="1" applyAlignment="1">
      <alignment vertical="center"/>
    </xf>
    <xf numFmtId="0" fontId="24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vertical="center"/>
    </xf>
    <xf numFmtId="0" fontId="17" fillId="0" borderId="9" xfId="0" quotePrefix="1" applyFont="1" applyBorder="1" applyAlignment="1">
      <alignment horizontal="left" vertical="center"/>
    </xf>
    <xf numFmtId="0" fontId="18" fillId="0" borderId="9" xfId="0" applyFont="1" applyBorder="1" applyAlignment="1">
      <alignment horizontal="justify" vertical="center" wrapText="1"/>
    </xf>
    <xf numFmtId="0" fontId="18" fillId="0" borderId="9" xfId="0" applyFont="1" applyBorder="1" applyAlignment="1">
      <alignment vertical="center" wrapText="1"/>
    </xf>
    <xf numFmtId="0" fontId="17" fillId="0" borderId="9" xfId="0" quotePrefix="1" applyFont="1" applyBorder="1" applyAlignment="1">
      <alignment vertical="center" wrapText="1"/>
    </xf>
    <xf numFmtId="0" fontId="17" fillId="0" borderId="9" xfId="0" quotePrefix="1" applyFont="1" applyBorder="1" applyAlignment="1">
      <alignment horizontal="justify" vertical="center"/>
    </xf>
    <xf numFmtId="0" fontId="18" fillId="0" borderId="10" xfId="0" applyFont="1" applyBorder="1" applyAlignment="1">
      <alignment horizontal="left" vertical="center" wrapText="1"/>
    </xf>
    <xf numFmtId="0" fontId="35" fillId="0" borderId="0" xfId="0" applyFont="1" applyAlignment="1">
      <alignment horizontal="center" vertical="center" wrapText="1"/>
    </xf>
    <xf numFmtId="0" fontId="12" fillId="0" borderId="0" xfId="0" applyFont="1" applyAlignment="1"/>
    <xf numFmtId="3" fontId="17" fillId="0" borderId="9" xfId="0" quotePrefix="1" applyNumberFormat="1" applyFont="1" applyBorder="1" applyAlignment="1">
      <alignment vertical="center" wrapText="1"/>
    </xf>
    <xf numFmtId="3" fontId="17" fillId="0" borderId="9" xfId="0" quotePrefix="1" applyNumberFormat="1" applyFont="1" applyBorder="1" applyAlignment="1">
      <alignment horizontal="justify" vertical="center"/>
    </xf>
    <xf numFmtId="3" fontId="17" fillId="0" borderId="9" xfId="0" quotePrefix="1" applyNumberFormat="1" applyFont="1" applyBorder="1" applyAlignment="1">
      <alignment horizontal="right" vertical="center"/>
    </xf>
    <xf numFmtId="3" fontId="17" fillId="0" borderId="9" xfId="0" quotePrefix="1" applyNumberFormat="1" applyFont="1" applyBorder="1" applyAlignment="1">
      <alignment horizontal="left" vertical="center"/>
    </xf>
    <xf numFmtId="3" fontId="17" fillId="0" borderId="9" xfId="0" applyNumberFormat="1" applyFont="1" applyBorder="1" applyAlignment="1">
      <alignment vertical="center"/>
    </xf>
    <xf numFmtId="3" fontId="18" fillId="0" borderId="9" xfId="0" applyNumberFormat="1" applyFont="1" applyBorder="1" applyAlignment="1">
      <alignment vertical="center" wrapText="1"/>
    </xf>
    <xf numFmtId="3" fontId="18" fillId="0" borderId="9" xfId="0" applyNumberFormat="1" applyFont="1" applyBorder="1" applyAlignment="1">
      <alignment horizontal="justify" vertical="center" wrapText="1"/>
    </xf>
    <xf numFmtId="0" fontId="12" fillId="0" borderId="9" xfId="0" applyFont="1" applyBorder="1" applyAlignment="1">
      <alignment horizontal="center" vertical="top" wrapText="1"/>
    </xf>
    <xf numFmtId="0" fontId="18" fillId="0" borderId="9" xfId="0" applyFont="1" applyBorder="1" applyAlignment="1">
      <alignment horizontal="left" vertical="center" wrapText="1"/>
    </xf>
    <xf numFmtId="0" fontId="22" fillId="5" borderId="9" xfId="0" applyFont="1" applyFill="1" applyBorder="1" applyAlignment="1">
      <alignment horizontal="center" vertical="center" wrapText="1"/>
    </xf>
    <xf numFmtId="0" fontId="17" fillId="5" borderId="10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35" fillId="5" borderId="4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top" wrapText="1"/>
    </xf>
    <xf numFmtId="0" fontId="18" fillId="5" borderId="9" xfId="0" applyFont="1" applyFill="1" applyBorder="1" applyAlignment="1">
      <alignment horizontal="left" vertical="center" wrapText="1"/>
    </xf>
    <xf numFmtId="3" fontId="24" fillId="0" borderId="9" xfId="0" applyNumberFormat="1" applyFont="1" applyBorder="1" applyAlignment="1">
      <alignment horizontal="center" vertical="center"/>
    </xf>
    <xf numFmtId="3" fontId="24" fillId="0" borderId="9" xfId="0" applyNumberFormat="1" applyFont="1" applyBorder="1" applyAlignment="1">
      <alignment horizontal="right" vertical="center"/>
    </xf>
    <xf numFmtId="0" fontId="17" fillId="0" borderId="9" xfId="0" applyFont="1" applyBorder="1"/>
    <xf numFmtId="3" fontId="18" fillId="0" borderId="9" xfId="0" applyNumberFormat="1" applyFont="1" applyBorder="1"/>
    <xf numFmtId="3" fontId="17" fillId="0" borderId="9" xfId="0" applyNumberFormat="1" applyFont="1" applyBorder="1"/>
    <xf numFmtId="3" fontId="17" fillId="0" borderId="0" xfId="0" applyNumberFormat="1" applyFont="1"/>
    <xf numFmtId="3" fontId="17" fillId="5" borderId="4" xfId="0" applyNumberFormat="1" applyFont="1" applyFill="1" applyBorder="1" applyAlignment="1">
      <alignment horizontal="center" vertical="center" wrapText="1"/>
    </xf>
    <xf numFmtId="3" fontId="17" fillId="5" borderId="8" xfId="0" applyNumberFormat="1" applyFont="1" applyFill="1" applyBorder="1" applyAlignment="1">
      <alignment horizontal="center" vertical="center" wrapText="1"/>
    </xf>
    <xf numFmtId="3" fontId="17" fillId="0" borderId="11" xfId="0" applyNumberFormat="1" applyFont="1" applyBorder="1" applyAlignment="1">
      <alignment vertical="center"/>
    </xf>
    <xf numFmtId="3" fontId="17" fillId="0" borderId="0" xfId="0" applyNumberFormat="1" applyFont="1" applyAlignment="1">
      <alignment horizontal="center" wrapText="1"/>
    </xf>
    <xf numFmtId="3" fontId="17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center" vertical="center"/>
    </xf>
    <xf numFmtId="3" fontId="17" fillId="0" borderId="9" xfId="0" applyNumberFormat="1" applyFont="1" applyBorder="1" applyAlignment="1">
      <alignment horizontal="center" vertical="center"/>
    </xf>
    <xf numFmtId="3" fontId="18" fillId="0" borderId="9" xfId="0" applyNumberFormat="1" applyFont="1" applyBorder="1" applyAlignment="1">
      <alignment horizontal="left" vertical="center" wrapText="1"/>
    </xf>
    <xf numFmtId="3" fontId="4" fillId="4" borderId="9" xfId="1" applyNumberFormat="1" applyFont="1" applyFill="1" applyBorder="1" applyAlignment="1">
      <alignment horizontal="right" vertical="center" wrapText="1"/>
    </xf>
    <xf numFmtId="3" fontId="4" fillId="4" borderId="9" xfId="0" applyNumberFormat="1" applyFont="1" applyFill="1" applyBorder="1" applyAlignment="1">
      <alignment horizontal="right" vertical="center" wrapText="1"/>
    </xf>
    <xf numFmtId="3" fontId="4" fillId="4" borderId="11" xfId="2" applyNumberFormat="1" applyFont="1" applyFill="1" applyBorder="1" applyAlignment="1">
      <alignment horizontal="right" vertical="center" wrapText="1"/>
    </xf>
    <xf numFmtId="3" fontId="8" fillId="4" borderId="9" xfId="0" applyNumberFormat="1" applyFont="1" applyFill="1" applyBorder="1" applyAlignment="1">
      <alignment horizontal="right" vertical="center"/>
    </xf>
    <xf numFmtId="0" fontId="12" fillId="0" borderId="10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1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5" borderId="0" xfId="0" applyNumberFormat="1" applyFont="1" applyFill="1" applyBorder="1" applyAlignment="1">
      <alignment horizontal="left" vertical="center"/>
    </xf>
    <xf numFmtId="3" fontId="0" fillId="0" borderId="0" xfId="0" applyNumberFormat="1" applyAlignment="1">
      <alignment vertical="center"/>
    </xf>
    <xf numFmtId="3" fontId="25" fillId="5" borderId="9" xfId="0" applyNumberFormat="1" applyFont="1" applyFill="1" applyBorder="1"/>
    <xf numFmtId="0" fontId="0" fillId="0" borderId="9" xfId="0" applyFont="1" applyBorder="1"/>
    <xf numFmtId="3" fontId="0" fillId="0" borderId="9" xfId="0" applyNumberFormat="1" applyFont="1" applyBorder="1"/>
    <xf numFmtId="3" fontId="19" fillId="0" borderId="9" xfId="0" applyNumberFormat="1" applyFont="1" applyBorder="1" applyAlignment="1">
      <alignment horizontal="center" vertical="center"/>
    </xf>
    <xf numFmtId="0" fontId="19" fillId="0" borderId="0" xfId="0" applyFont="1"/>
    <xf numFmtId="41" fontId="19" fillId="0" borderId="9" xfId="0" applyNumberFormat="1" applyFont="1" applyBorder="1"/>
    <xf numFmtId="0" fontId="19" fillId="0" borderId="9" xfId="0" quotePrefix="1" applyFont="1" applyBorder="1" applyAlignment="1">
      <alignment horizontal="center" vertical="center"/>
    </xf>
    <xf numFmtId="3" fontId="19" fillId="0" borderId="9" xfId="0" applyNumberFormat="1" applyFont="1" applyBorder="1" applyAlignment="1">
      <alignment vertical="center"/>
    </xf>
    <xf numFmtId="3" fontId="12" fillId="0" borderId="0" xfId="0" applyNumberFormat="1" applyFont="1" applyAlignment="1">
      <alignment horizontal="left" vertical="center"/>
    </xf>
    <xf numFmtId="41" fontId="12" fillId="0" borderId="0" xfId="0" applyNumberFormat="1" applyFont="1"/>
    <xf numFmtId="3" fontId="2" fillId="5" borderId="9" xfId="2" applyNumberFormat="1" applyFont="1" applyFill="1" applyBorder="1" applyAlignment="1">
      <alignment horizontal="right" vertical="center" wrapText="1"/>
    </xf>
    <xf numFmtId="3" fontId="2" fillId="5" borderId="9" xfId="0" applyNumberFormat="1" applyFont="1" applyFill="1" applyBorder="1" applyAlignment="1">
      <alignment horizontal="center" vertical="center" wrapText="1"/>
    </xf>
    <xf numFmtId="3" fontId="4" fillId="5" borderId="0" xfId="0" applyNumberFormat="1" applyFont="1" applyFill="1" applyAlignment="1">
      <alignment vertical="center"/>
    </xf>
    <xf numFmtId="0" fontId="3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3" fontId="12" fillId="0" borderId="9" xfId="0" applyNumberFormat="1" applyFont="1" applyBorder="1" applyAlignment="1">
      <alignment horizontal="righ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3" fontId="17" fillId="0" borderId="9" xfId="0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vertical="center"/>
    </xf>
    <xf numFmtId="0" fontId="18" fillId="0" borderId="9" xfId="0" applyFont="1" applyBorder="1" applyAlignment="1">
      <alignment vertical="center" wrapText="1"/>
    </xf>
    <xf numFmtId="0" fontId="35" fillId="0" borderId="0" xfId="0" applyFont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justify" vertical="center"/>
    </xf>
    <xf numFmtId="0" fontId="17" fillId="0" borderId="9" xfId="0" applyFont="1" applyBorder="1" applyAlignment="1">
      <alignment horizontal="justify" vertical="center" wrapText="1"/>
    </xf>
    <xf numFmtId="3" fontId="17" fillId="0" borderId="8" xfId="2" applyNumberFormat="1" applyFont="1" applyBorder="1" applyAlignment="1">
      <alignment horizontal="right" vertical="center" wrapText="1"/>
    </xf>
    <xf numFmtId="41" fontId="35" fillId="0" borderId="13" xfId="2" applyFont="1" applyBorder="1" applyAlignment="1">
      <alignment horizontal="center" vertical="center" wrapText="1"/>
    </xf>
    <xf numFmtId="0" fontId="12" fillId="0" borderId="9" xfId="0" applyFont="1" applyBorder="1" applyAlignment="1">
      <alignment vertical="center" wrapText="1"/>
    </xf>
    <xf numFmtId="0" fontId="12" fillId="0" borderId="9" xfId="0" applyFont="1" applyBorder="1" applyAlignment="1">
      <alignment horizontal="justify" vertical="center" wrapText="1"/>
    </xf>
    <xf numFmtId="0" fontId="12" fillId="0" borderId="9" xfId="0" applyFont="1" applyBorder="1" applyAlignment="1">
      <alignment horizontal="justify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/>
    <xf numFmtId="0" fontId="12" fillId="0" borderId="0" xfId="0" applyFont="1" applyBorder="1" applyAlignment="1">
      <alignment horizontal="justify" vertical="center" wrapText="1"/>
    </xf>
    <xf numFmtId="3" fontId="12" fillId="0" borderId="0" xfId="0" applyNumberFormat="1" applyFont="1" applyBorder="1"/>
    <xf numFmtId="3" fontId="17" fillId="0" borderId="0" xfId="0" applyNumberFormat="1" applyFont="1" applyBorder="1"/>
    <xf numFmtId="3" fontId="17" fillId="0" borderId="0" xfId="2" applyNumberFormat="1" applyFont="1" applyBorder="1" applyAlignment="1">
      <alignment horizontal="right" vertical="center" wrapText="1"/>
    </xf>
    <xf numFmtId="41" fontId="35" fillId="0" borderId="0" xfId="2" applyFont="1" applyBorder="1" applyAlignment="1">
      <alignment horizontal="center" vertical="center" wrapText="1"/>
    </xf>
    <xf numFmtId="3" fontId="33" fillId="5" borderId="8" xfId="0" applyNumberFormat="1" applyFont="1" applyFill="1" applyBorder="1" applyAlignment="1">
      <alignment horizontal="center" vertical="center" wrapText="1"/>
    </xf>
    <xf numFmtId="3" fontId="18" fillId="5" borderId="8" xfId="0" applyNumberFormat="1" applyFont="1" applyFill="1" applyBorder="1" applyAlignment="1">
      <alignment horizontal="right" vertical="center" wrapText="1"/>
    </xf>
    <xf numFmtId="3" fontId="18" fillId="0" borderId="9" xfId="2" applyNumberFormat="1" applyFont="1" applyBorder="1" applyAlignment="1">
      <alignment horizontal="right" vertical="center" wrapText="1"/>
    </xf>
    <xf numFmtId="3" fontId="18" fillId="0" borderId="8" xfId="2" applyNumberFormat="1" applyFont="1" applyBorder="1" applyAlignment="1">
      <alignment horizontal="right" vertical="center" wrapText="1"/>
    </xf>
    <xf numFmtId="41" fontId="33" fillId="0" borderId="13" xfId="2" applyFont="1" applyBorder="1" applyAlignment="1">
      <alignment horizontal="right" vertical="center" wrapText="1"/>
    </xf>
    <xf numFmtId="3" fontId="33" fillId="0" borderId="9" xfId="0" applyNumberFormat="1" applyFont="1" applyBorder="1"/>
    <xf numFmtId="3" fontId="33" fillId="0" borderId="9" xfId="2" applyNumberFormat="1" applyFont="1" applyBorder="1" applyAlignment="1">
      <alignment horizontal="right" vertical="center" wrapText="1"/>
    </xf>
    <xf numFmtId="41" fontId="33" fillId="0" borderId="9" xfId="2" applyFont="1" applyBorder="1" applyAlignment="1">
      <alignment horizontal="center" vertical="center" wrapText="1"/>
    </xf>
    <xf numFmtId="41" fontId="35" fillId="0" borderId="9" xfId="2" applyFont="1" applyBorder="1" applyAlignment="1">
      <alignment horizontal="center" vertical="center" wrapText="1"/>
    </xf>
    <xf numFmtId="0" fontId="13" fillId="0" borderId="9" xfId="0" applyFont="1" applyBorder="1" applyAlignment="1">
      <alignment horizontal="right" vertical="center"/>
    </xf>
    <xf numFmtId="41" fontId="33" fillId="0" borderId="13" xfId="2" applyFont="1" applyBorder="1" applyAlignment="1">
      <alignment horizontal="center" vertical="center" wrapText="1"/>
    </xf>
    <xf numFmtId="3" fontId="26" fillId="4" borderId="0" xfId="0" applyNumberFormat="1" applyFont="1" applyFill="1"/>
    <xf numFmtId="0" fontId="26" fillId="9" borderId="0" xfId="0" applyFont="1" applyFill="1"/>
    <xf numFmtId="41" fontId="26" fillId="9" borderId="0" xfId="0" applyNumberFormat="1" applyFont="1" applyFill="1"/>
    <xf numFmtId="0" fontId="26" fillId="10" borderId="0" xfId="0" applyFont="1" applyFill="1"/>
    <xf numFmtId="41" fontId="26" fillId="10" borderId="0" xfId="0" applyNumberFormat="1" applyFont="1" applyFill="1"/>
    <xf numFmtId="0" fontId="26" fillId="11" borderId="0" xfId="0" applyFont="1" applyFill="1" applyAlignment="1">
      <alignment wrapText="1"/>
    </xf>
    <xf numFmtId="0" fontId="26" fillId="11" borderId="0" xfId="0" applyFont="1" applyFill="1"/>
    <xf numFmtId="41" fontId="26" fillId="11" borderId="0" xfId="0" applyNumberFormat="1" applyFont="1" applyFill="1"/>
    <xf numFmtId="0" fontId="26" fillId="13" borderId="0" xfId="0" applyFont="1" applyFill="1" applyAlignment="1">
      <alignment horizontal="center" vertical="center"/>
    </xf>
    <xf numFmtId="0" fontId="26" fillId="14" borderId="0" xfId="0" applyFont="1" applyFill="1"/>
    <xf numFmtId="41" fontId="26" fillId="14" borderId="0" xfId="0" applyNumberFormat="1" applyFont="1" applyFill="1"/>
    <xf numFmtId="0" fontId="26" fillId="12" borderId="0" xfId="0" applyFont="1" applyFill="1"/>
    <xf numFmtId="41" fontId="26" fillId="12" borderId="0" xfId="0" applyNumberFormat="1" applyFont="1" applyFill="1"/>
    <xf numFmtId="0" fontId="26" fillId="12" borderId="0" xfId="0" applyFont="1" applyFill="1" applyAlignment="1">
      <alignment wrapText="1"/>
    </xf>
    <xf numFmtId="0" fontId="26" fillId="15" borderId="0" xfId="0" applyFont="1" applyFill="1" applyAlignment="1">
      <alignment wrapText="1"/>
    </xf>
    <xf numFmtId="0" fontId="26" fillId="15" borderId="0" xfId="0" applyFont="1" applyFill="1"/>
    <xf numFmtId="41" fontId="26" fillId="15" borderId="0" xfId="0" applyNumberFormat="1" applyFont="1" applyFill="1"/>
    <xf numFmtId="0" fontId="26" fillId="2" borderId="0" xfId="0" applyFont="1" applyFill="1" applyAlignment="1">
      <alignment wrapText="1"/>
    </xf>
    <xf numFmtId="0" fontId="26" fillId="2" borderId="0" xfId="0" applyFont="1" applyFill="1"/>
    <xf numFmtId="41" fontId="26" fillId="2" borderId="0" xfId="0" applyNumberFormat="1" applyFont="1" applyFill="1"/>
    <xf numFmtId="0" fontId="26" fillId="16" borderId="0" xfId="0" applyFont="1" applyFill="1"/>
    <xf numFmtId="0" fontId="26" fillId="17" borderId="0" xfId="0" applyFont="1" applyFill="1"/>
    <xf numFmtId="0" fontId="26" fillId="9" borderId="0" xfId="0" applyFont="1" applyFill="1" applyAlignment="1">
      <alignment wrapText="1"/>
    </xf>
    <xf numFmtId="0" fontId="10" fillId="0" borderId="1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9" fontId="26" fillId="0" borderId="0" xfId="0" applyNumberFormat="1" applyFont="1"/>
    <xf numFmtId="3" fontId="26" fillId="14" borderId="0" xfId="0" applyNumberFormat="1" applyFont="1" applyFill="1" applyAlignment="1">
      <alignment horizontal="right" vertical="center"/>
    </xf>
    <xf numFmtId="3" fontId="26" fillId="15" borderId="0" xfId="0" applyNumberFormat="1" applyFont="1" applyFill="1"/>
    <xf numFmtId="3" fontId="26" fillId="15" borderId="0" xfId="0" applyNumberFormat="1" applyFont="1" applyFill="1" applyAlignment="1">
      <alignment vertical="center"/>
    </xf>
    <xf numFmtId="0" fontId="26" fillId="4" borderId="0" xfId="0" applyFont="1" applyFill="1"/>
    <xf numFmtId="3" fontId="18" fillId="5" borderId="7" xfId="0" applyNumberFormat="1" applyFont="1" applyFill="1" applyBorder="1" applyAlignment="1">
      <alignment horizontal="right" vertical="center" wrapText="1"/>
    </xf>
    <xf numFmtId="3" fontId="19" fillId="0" borderId="0" xfId="0" applyNumberFormat="1" applyFont="1" applyAlignment="1">
      <alignment horizontal="left" vertical="center"/>
    </xf>
    <xf numFmtId="3" fontId="19" fillId="0" borderId="0" xfId="0" applyNumberFormat="1" applyFont="1" applyAlignment="1">
      <alignment horizontal="right" vertical="center"/>
    </xf>
    <xf numFmtId="3" fontId="17" fillId="5" borderId="9" xfId="0" applyNumberFormat="1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2" fontId="17" fillId="5" borderId="9" xfId="0" applyNumberFormat="1" applyFont="1" applyFill="1" applyBorder="1" applyAlignment="1">
      <alignment horizontal="center" vertical="center" wrapText="1"/>
    </xf>
    <xf numFmtId="3" fontId="17" fillId="0" borderId="9" xfId="0" applyNumberFormat="1" applyFont="1" applyBorder="1" applyAlignment="1">
      <alignment horizontal="center" vertical="center" wrapText="1"/>
    </xf>
    <xf numFmtId="0" fontId="22" fillId="0" borderId="9" xfId="0" quotePrefix="1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vertical="center"/>
    </xf>
    <xf numFmtId="0" fontId="17" fillId="0" borderId="10" xfId="0" quotePrefix="1" applyFont="1" applyBorder="1" applyAlignment="1">
      <alignment vertical="center"/>
    </xf>
    <xf numFmtId="0" fontId="18" fillId="0" borderId="9" xfId="0" applyFont="1" applyBorder="1" applyAlignment="1">
      <alignment vertical="center" wrapText="1"/>
    </xf>
    <xf numFmtId="0" fontId="17" fillId="0" borderId="12" xfId="0" applyFont="1" applyFill="1" applyBorder="1" applyAlignment="1">
      <alignment horizontal="center" vertical="center" wrapText="1"/>
    </xf>
    <xf numFmtId="3" fontId="17" fillId="0" borderId="12" xfId="0" applyNumberFormat="1" applyFont="1" applyBorder="1" applyAlignment="1">
      <alignment horizontal="center" vertical="center" wrapText="1"/>
    </xf>
    <xf numFmtId="0" fontId="17" fillId="0" borderId="12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2" fillId="6" borderId="9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3" fontId="17" fillId="0" borderId="9" xfId="0" applyNumberFormat="1" applyFont="1" applyBorder="1" applyAlignment="1">
      <alignment horizontal="center" vertical="center" wrapText="1"/>
    </xf>
    <xf numFmtId="3" fontId="17" fillId="0" borderId="1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" fontId="18" fillId="0" borderId="11" xfId="0" applyNumberFormat="1" applyFont="1" applyFill="1" applyBorder="1" applyAlignment="1">
      <alignment horizontal="center" vertical="center" wrapText="1"/>
    </xf>
    <xf numFmtId="0" fontId="4" fillId="5" borderId="0" xfId="0" applyNumberFormat="1" applyFont="1" applyFill="1" applyAlignment="1">
      <alignment horizontal="right" vertical="center"/>
    </xf>
    <xf numFmtId="3" fontId="8" fillId="5" borderId="0" xfId="0" applyNumberFormat="1" applyFont="1" applyFill="1" applyAlignment="1">
      <alignment horizontal="right" vertical="center"/>
    </xf>
    <xf numFmtId="0" fontId="17" fillId="6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3" fontId="17" fillId="0" borderId="1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0" xfId="0" quotePrefix="1" applyFont="1" applyBorder="1" applyAlignment="1">
      <alignment horizontal="left" vertical="center"/>
    </xf>
    <xf numFmtId="0" fontId="17" fillId="0" borderId="9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7" fillId="6" borderId="7" xfId="0" applyFont="1" applyFill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vertical="center" wrapText="1"/>
    </xf>
    <xf numFmtId="0" fontId="17" fillId="0" borderId="10" xfId="0" quotePrefix="1" applyFont="1" applyBorder="1" applyAlignment="1">
      <alignment vertical="center"/>
    </xf>
    <xf numFmtId="0" fontId="17" fillId="6" borderId="10" xfId="0" applyFont="1" applyFill="1" applyBorder="1" applyAlignment="1">
      <alignment horizontal="center" vertical="center" wrapText="1"/>
    </xf>
    <xf numFmtId="3" fontId="17" fillId="0" borderId="9" xfId="0" applyNumberFormat="1" applyFont="1" applyBorder="1" applyAlignment="1">
      <alignment horizontal="center" vertical="center" wrapText="1"/>
    </xf>
    <xf numFmtId="0" fontId="17" fillId="0" borderId="10" xfId="0" quotePrefix="1" applyFont="1" applyBorder="1" applyAlignment="1">
      <alignment horizontal="justify" vertical="center" wrapText="1"/>
    </xf>
    <xf numFmtId="0" fontId="17" fillId="0" borderId="10" xfId="0" quotePrefix="1" applyFont="1" applyBorder="1" applyAlignment="1">
      <alignment vertical="center" wrapText="1"/>
    </xf>
    <xf numFmtId="0" fontId="17" fillId="0" borderId="10" xfId="0" quotePrefix="1" applyFont="1" applyBorder="1" applyAlignment="1">
      <alignment horizontal="justify" vertical="center"/>
    </xf>
    <xf numFmtId="0" fontId="18" fillId="0" borderId="10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7" fillId="5" borderId="0" xfId="0" applyNumberFormat="1" applyFont="1" applyFill="1" applyBorder="1" applyAlignment="1">
      <alignment vertical="center" wrapText="1"/>
    </xf>
    <xf numFmtId="0" fontId="17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3" fontId="24" fillId="0" borderId="0" xfId="0" applyNumberFormat="1" applyFont="1" applyBorder="1" applyAlignment="1">
      <alignment horizontal="left" vertical="center"/>
    </xf>
    <xf numFmtId="3" fontId="17" fillId="0" borderId="9" xfId="0" applyNumberFormat="1" applyFont="1" applyBorder="1" applyAlignment="1">
      <alignment horizontal="center" vertical="center" wrapText="1"/>
    </xf>
    <xf numFmtId="3" fontId="25" fillId="0" borderId="9" xfId="0" applyNumberFormat="1" applyFont="1" applyBorder="1" applyAlignment="1">
      <alignment vertical="center"/>
    </xf>
    <xf numFmtId="0" fontId="17" fillId="0" borderId="0" xfId="0" applyFont="1" applyAlignment="1">
      <alignment horizontal="center"/>
    </xf>
    <xf numFmtId="0" fontId="17" fillId="5" borderId="0" xfId="0" applyNumberFormat="1" applyFont="1" applyFill="1" applyBorder="1" applyAlignment="1">
      <alignment vertical="center"/>
    </xf>
    <xf numFmtId="0" fontId="17" fillId="0" borderId="0" xfId="0" applyFont="1" applyAlignment="1"/>
    <xf numFmtId="0" fontId="17" fillId="6" borderId="4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18" fillId="5" borderId="0" xfId="0" applyNumberFormat="1" applyFont="1" applyFill="1" applyBorder="1" applyAlignment="1">
      <alignment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3" fontId="18" fillId="0" borderId="9" xfId="0" applyNumberFormat="1" applyFont="1" applyFill="1" applyBorder="1" applyAlignment="1">
      <alignment horizontal="right" vertical="center" wrapText="1"/>
    </xf>
    <xf numFmtId="0" fontId="17" fillId="0" borderId="11" xfId="0" applyFont="1" applyBorder="1" applyAlignment="1">
      <alignment horizontal="right" vertical="center" wrapText="1"/>
    </xf>
    <xf numFmtId="41" fontId="17" fillId="0" borderId="11" xfId="2" applyFont="1" applyBorder="1" applyAlignment="1">
      <alignment horizontal="right" vertical="center" wrapText="1"/>
    </xf>
    <xf numFmtId="0" fontId="17" fillId="0" borderId="9" xfId="0" quotePrefix="1" applyFont="1" applyBorder="1" applyAlignment="1">
      <alignment horizontal="left" vertical="center" wrapText="1"/>
    </xf>
    <xf numFmtId="0" fontId="18" fillId="0" borderId="9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8" fillId="5" borderId="9" xfId="0" applyNumberFormat="1" applyFont="1" applyFill="1" applyBorder="1" applyAlignment="1">
      <alignment vertical="center" wrapText="1"/>
    </xf>
    <xf numFmtId="0" fontId="17" fillId="0" borderId="9" xfId="0" applyFont="1" applyBorder="1" applyAlignment="1">
      <alignment horizontal="right" vertical="center" wrapText="1"/>
    </xf>
    <xf numFmtId="0" fontId="17" fillId="5" borderId="0" xfId="0" applyNumberFormat="1" applyFont="1" applyFill="1" applyBorder="1" applyAlignment="1">
      <alignment horizontal="left" vertical="center"/>
    </xf>
    <xf numFmtId="0" fontId="18" fillId="5" borderId="9" xfId="0" applyNumberFormat="1" applyFont="1" applyFill="1" applyBorder="1" applyAlignment="1">
      <alignment horizontal="left" vertical="center" wrapText="1"/>
    </xf>
    <xf numFmtId="0" fontId="17" fillId="5" borderId="9" xfId="0" applyNumberFormat="1" applyFont="1" applyFill="1" applyBorder="1" applyAlignment="1">
      <alignment horizontal="left" vertical="center" wrapText="1"/>
    </xf>
    <xf numFmtId="0" fontId="17" fillId="0" borderId="9" xfId="0" applyNumberFormat="1" applyFont="1" applyBorder="1" applyAlignment="1">
      <alignment horizontal="justify" vertical="center" wrapText="1"/>
    </xf>
    <xf numFmtId="0" fontId="17" fillId="0" borderId="10" xfId="0" quotePrefix="1" applyNumberFormat="1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41" fontId="17" fillId="0" borderId="0" xfId="0" applyNumberFormat="1" applyFont="1"/>
    <xf numFmtId="0" fontId="18" fillId="0" borderId="9" xfId="0" applyNumberFormat="1" applyFont="1" applyBorder="1" applyAlignment="1">
      <alignment horizontal="justify" vertical="center" wrapText="1"/>
    </xf>
    <xf numFmtId="0" fontId="17" fillId="0" borderId="0" xfId="0" applyFont="1" applyAlignment="1">
      <alignment vertical="center"/>
    </xf>
    <xf numFmtId="0" fontId="17" fillId="5" borderId="12" xfId="0" applyNumberFormat="1" applyFont="1" applyFill="1" applyBorder="1" applyAlignment="1">
      <alignment vertical="center"/>
    </xf>
    <xf numFmtId="0" fontId="17" fillId="5" borderId="9" xfId="0" applyNumberFormat="1" applyFont="1" applyFill="1" applyBorder="1" applyAlignment="1">
      <alignment vertical="center"/>
    </xf>
    <xf numFmtId="0" fontId="17" fillId="0" borderId="10" xfId="0" quotePrefix="1" applyFont="1" applyBorder="1" applyAlignment="1">
      <alignment horizontal="left" vertical="center" wrapText="1"/>
    </xf>
    <xf numFmtId="0" fontId="17" fillId="0" borderId="9" xfId="0" quotePrefix="1" applyFont="1" applyBorder="1" applyAlignment="1">
      <alignment horizontal="center" vertical="center"/>
    </xf>
    <xf numFmtId="0" fontId="17" fillId="5" borderId="9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10" xfId="0" quotePrefix="1" applyFont="1" applyBorder="1" applyAlignment="1">
      <alignment vertical="center"/>
    </xf>
    <xf numFmtId="0" fontId="17" fillId="0" borderId="10" xfId="0" quotePrefix="1" applyFont="1" applyBorder="1" applyAlignment="1">
      <alignment horizontal="justify" vertical="center" wrapText="1"/>
    </xf>
    <xf numFmtId="0" fontId="18" fillId="0" borderId="9" xfId="0" applyFont="1" applyBorder="1" applyAlignment="1">
      <alignment vertical="center" wrapText="1"/>
    </xf>
    <xf numFmtId="0" fontId="17" fillId="0" borderId="9" xfId="0" applyFont="1" applyBorder="1" applyAlignment="1">
      <alignment vertical="center"/>
    </xf>
    <xf numFmtId="0" fontId="22" fillId="6" borderId="9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17" fillId="0" borderId="10" xfId="0" quotePrefix="1" applyFont="1" applyBorder="1" applyAlignment="1">
      <alignment horizontal="justify" vertical="center"/>
    </xf>
    <xf numFmtId="3" fontId="17" fillId="0" borderId="9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vertical="center" wrapText="1"/>
    </xf>
    <xf numFmtId="0" fontId="17" fillId="0" borderId="0" xfId="0" applyFont="1" applyAlignment="1"/>
    <xf numFmtId="0" fontId="17" fillId="6" borderId="4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2" fillId="0" borderId="10" xfId="0" applyFont="1" applyBorder="1" applyAlignment="1">
      <alignment horizontal="center" vertical="center" wrapText="1"/>
    </xf>
    <xf numFmtId="3" fontId="17" fillId="0" borderId="11" xfId="0" applyNumberFormat="1" applyFont="1" applyBorder="1" applyAlignment="1">
      <alignment horizontal="center" vertical="center" wrapText="1"/>
    </xf>
    <xf numFmtId="3" fontId="17" fillId="0" borderId="9" xfId="0" applyNumberFormat="1" applyFont="1" applyBorder="1" applyAlignment="1">
      <alignment horizontal="center" vertical="center" wrapText="1"/>
    </xf>
    <xf numFmtId="0" fontId="17" fillId="0" borderId="0" xfId="0" applyFont="1" applyAlignment="1"/>
    <xf numFmtId="0" fontId="1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" fontId="26" fillId="4" borderId="0" xfId="0" applyNumberFormat="1" applyFont="1" applyFill="1" applyAlignment="1">
      <alignment vertical="center"/>
    </xf>
    <xf numFmtId="3" fontId="19" fillId="5" borderId="0" xfId="0" applyNumberFormat="1" applyFont="1" applyFill="1" applyAlignment="1">
      <alignment vertical="center"/>
    </xf>
    <xf numFmtId="3" fontId="17" fillId="5" borderId="0" xfId="0" applyNumberFormat="1" applyFont="1" applyFill="1"/>
    <xf numFmtId="0" fontId="17" fillId="0" borderId="10" xfId="0" quotePrefix="1" applyFont="1" applyBorder="1" applyAlignment="1">
      <alignment horizontal="justify" vertical="center"/>
    </xf>
    <xf numFmtId="9" fontId="4" fillId="0" borderId="0" xfId="0" applyNumberFormat="1" applyFont="1" applyAlignment="1">
      <alignment horizontal="right" vertical="center"/>
    </xf>
    <xf numFmtId="0" fontId="4" fillId="0" borderId="0" xfId="0" applyNumberFormat="1" applyFont="1" applyAlignment="1">
      <alignment horizontal="right" vertical="center"/>
    </xf>
    <xf numFmtId="0" fontId="28" fillId="8" borderId="0" xfId="0" applyNumberFormat="1" applyFont="1" applyFill="1" applyAlignment="1">
      <alignment vertical="center"/>
    </xf>
    <xf numFmtId="3" fontId="26" fillId="0" borderId="0" xfId="0" applyNumberFormat="1" applyFont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3" fontId="17" fillId="0" borderId="0" xfId="0" applyNumberFormat="1" applyFont="1" applyAlignment="1">
      <alignment vertical="center"/>
    </xf>
    <xf numFmtId="3" fontId="39" fillId="0" borderId="0" xfId="0" applyNumberFormat="1" applyFont="1"/>
    <xf numFmtId="0" fontId="16" fillId="0" borderId="9" xfId="0" applyFont="1" applyFill="1" applyBorder="1" applyAlignment="1">
      <alignment horizontal="right" vertical="center" wrapText="1"/>
    </xf>
    <xf numFmtId="0" fontId="12" fillId="0" borderId="9" xfId="0" applyFont="1" applyBorder="1" applyAlignment="1">
      <alignment horizontal="right" vertical="center" wrapText="1"/>
    </xf>
    <xf numFmtId="0" fontId="13" fillId="0" borderId="9" xfId="0" applyFont="1" applyBorder="1" applyAlignment="1">
      <alignment horizontal="right" vertical="center" wrapText="1"/>
    </xf>
    <xf numFmtId="3" fontId="17" fillId="3" borderId="0" xfId="0" applyNumberFormat="1" applyFont="1" applyFill="1"/>
    <xf numFmtId="0" fontId="0" fillId="3" borderId="0" xfId="0" applyFill="1"/>
    <xf numFmtId="0" fontId="8" fillId="18" borderId="9" xfId="0" applyNumberFormat="1" applyFont="1" applyFill="1" applyBorder="1" applyAlignment="1">
      <alignment horizontal="center" vertical="center" wrapText="1"/>
    </xf>
    <xf numFmtId="3" fontId="25" fillId="0" borderId="11" xfId="0" applyNumberFormat="1" applyFont="1" applyBorder="1" applyAlignment="1">
      <alignment vertical="center"/>
    </xf>
    <xf numFmtId="3" fontId="0" fillId="0" borderId="11" xfId="0" applyNumberFormat="1" applyFont="1" applyBorder="1" applyAlignment="1">
      <alignment vertical="center"/>
    </xf>
    <xf numFmtId="3" fontId="4" fillId="5" borderId="8" xfId="0" applyNumberFormat="1" applyFont="1" applyFill="1" applyBorder="1" applyAlignment="1">
      <alignment horizontal="center" vertical="center" wrapText="1"/>
    </xf>
    <xf numFmtId="3" fontId="2" fillId="5" borderId="9" xfId="0" applyNumberFormat="1" applyFont="1" applyFill="1" applyBorder="1" applyAlignment="1">
      <alignment horizontal="right" vertical="center"/>
    </xf>
    <xf numFmtId="3" fontId="2" fillId="5" borderId="9" xfId="0" applyNumberFormat="1" applyFont="1" applyFill="1" applyBorder="1"/>
    <xf numFmtId="3" fontId="2" fillId="5" borderId="9" xfId="0" quotePrefix="1" applyNumberFormat="1" applyFont="1" applyFill="1" applyBorder="1" applyAlignment="1">
      <alignment horizontal="center" vertical="center" wrapText="1"/>
    </xf>
    <xf numFmtId="0" fontId="32" fillId="5" borderId="9" xfId="0" applyNumberFormat="1" applyFont="1" applyFill="1" applyBorder="1" applyAlignment="1">
      <alignment horizontal="center" vertical="center" wrapText="1"/>
    </xf>
    <xf numFmtId="0" fontId="8" fillId="5" borderId="0" xfId="0" applyNumberFormat="1" applyFont="1" applyFill="1" applyAlignment="1">
      <alignment vertical="center"/>
    </xf>
    <xf numFmtId="3" fontId="7" fillId="5" borderId="9" xfId="0" applyNumberFormat="1" applyFont="1" applyFill="1" applyBorder="1" applyAlignment="1">
      <alignment horizontal="right" vertical="center" wrapText="1"/>
    </xf>
    <xf numFmtId="0" fontId="6" fillId="5" borderId="0" xfId="0" applyNumberFormat="1" applyFont="1" applyFill="1" applyAlignment="1">
      <alignment vertical="center"/>
    </xf>
    <xf numFmtId="0" fontId="6" fillId="5" borderId="9" xfId="0" applyNumberFormat="1" applyFont="1" applyFill="1" applyBorder="1" applyAlignment="1">
      <alignment horizontal="center" vertical="center" wrapText="1"/>
    </xf>
    <xf numFmtId="0" fontId="8" fillId="5" borderId="9" xfId="0" applyNumberFormat="1" applyFont="1" applyFill="1" applyBorder="1" applyAlignment="1">
      <alignment horizontal="justify" vertical="center" wrapText="1"/>
    </xf>
    <xf numFmtId="3" fontId="8" fillId="5" borderId="9" xfId="2" applyNumberFormat="1" applyFont="1" applyFill="1" applyBorder="1" applyAlignment="1">
      <alignment horizontal="right" vertical="center" wrapText="1"/>
    </xf>
    <xf numFmtId="0" fontId="4" fillId="5" borderId="9" xfId="0" applyNumberFormat="1" applyFont="1" applyFill="1" applyBorder="1" applyAlignment="1">
      <alignment horizontal="justify" vertical="center" wrapText="1"/>
    </xf>
    <xf numFmtId="0" fontId="7" fillId="5" borderId="9" xfId="0" applyNumberFormat="1" applyFont="1" applyFill="1" applyBorder="1" applyAlignment="1">
      <alignment horizontal="center" vertical="center" wrapText="1"/>
    </xf>
    <xf numFmtId="3" fontId="8" fillId="5" borderId="9" xfId="0" applyNumberFormat="1" applyFont="1" applyFill="1" applyBorder="1" applyAlignment="1">
      <alignment horizontal="center" vertical="center" wrapText="1"/>
    </xf>
    <xf numFmtId="3" fontId="6" fillId="5" borderId="9" xfId="0" applyNumberFormat="1" applyFont="1" applyFill="1" applyBorder="1" applyAlignment="1">
      <alignment horizontal="center" vertical="center" wrapText="1"/>
    </xf>
    <xf numFmtId="3" fontId="4" fillId="5" borderId="9" xfId="0" applyNumberFormat="1" applyFont="1" applyFill="1" applyBorder="1" applyAlignment="1">
      <alignment horizontal="center" vertical="center" wrapText="1"/>
    </xf>
    <xf numFmtId="3" fontId="12" fillId="5" borderId="9" xfId="0" applyNumberFormat="1" applyFont="1" applyFill="1" applyBorder="1" applyAlignment="1">
      <alignment horizontal="center" vertical="center" wrapText="1"/>
    </xf>
    <xf numFmtId="3" fontId="7" fillId="5" borderId="9" xfId="2" applyNumberFormat="1" applyFont="1" applyFill="1" applyBorder="1" applyAlignment="1">
      <alignment horizontal="right" vertical="center" wrapText="1"/>
    </xf>
    <xf numFmtId="3" fontId="7" fillId="5" borderId="9" xfId="0" applyNumberFormat="1" applyFont="1" applyFill="1" applyBorder="1" applyAlignment="1">
      <alignment horizontal="center" vertical="center" wrapText="1"/>
    </xf>
    <xf numFmtId="0" fontId="4" fillId="5" borderId="9" xfId="0" quotePrefix="1" applyNumberFormat="1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vertical="center" wrapText="1"/>
    </xf>
    <xf numFmtId="0" fontId="2" fillId="5" borderId="9" xfId="0" applyNumberFormat="1" applyFont="1" applyFill="1" applyBorder="1" applyAlignment="1">
      <alignment horizontal="justify" vertical="center" wrapText="1"/>
    </xf>
    <xf numFmtId="0" fontId="2" fillId="5" borderId="10" xfId="0" applyFont="1" applyFill="1" applyBorder="1" applyAlignment="1">
      <alignment vertical="center" wrapText="1"/>
    </xf>
    <xf numFmtId="0" fontId="36" fillId="5" borderId="9" xfId="0" applyFont="1" applyFill="1" applyBorder="1" applyAlignment="1">
      <alignment horizontal="left" vertical="center" wrapText="1"/>
    </xf>
    <xf numFmtId="0" fontId="2" fillId="5" borderId="0" xfId="0" applyNumberFormat="1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vertical="center" wrapText="1"/>
    </xf>
    <xf numFmtId="3" fontId="13" fillId="5" borderId="9" xfId="0" applyNumberFormat="1" applyFont="1" applyFill="1" applyBorder="1" applyAlignment="1">
      <alignment horizontal="center" vertical="center" wrapText="1"/>
    </xf>
    <xf numFmtId="0" fontId="2" fillId="5" borderId="9" xfId="0" applyNumberFormat="1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wrapText="1"/>
    </xf>
    <xf numFmtId="0" fontId="2" fillId="5" borderId="9" xfId="0" applyNumberFormat="1" applyFont="1" applyFill="1" applyBorder="1" applyAlignment="1">
      <alignment vertical="center"/>
    </xf>
    <xf numFmtId="3" fontId="4" fillId="5" borderId="0" xfId="0" applyNumberFormat="1" applyFont="1" applyFill="1" applyAlignment="1">
      <alignment horizontal="center" vertical="center"/>
    </xf>
    <xf numFmtId="3" fontId="4" fillId="5" borderId="9" xfId="0" applyNumberFormat="1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vertical="center"/>
    </xf>
    <xf numFmtId="0" fontId="4" fillId="18" borderId="9" xfId="0" applyNumberFormat="1" applyFont="1" applyFill="1" applyBorder="1" applyAlignment="1">
      <alignment horizontal="center" vertical="center" wrapText="1"/>
    </xf>
    <xf numFmtId="0" fontId="4" fillId="18" borderId="9" xfId="0" applyNumberFormat="1" applyFont="1" applyFill="1" applyBorder="1" applyAlignment="1">
      <alignment horizontal="left" vertical="center" wrapText="1"/>
    </xf>
    <xf numFmtId="3" fontId="4" fillId="18" borderId="9" xfId="2" applyNumberFormat="1" applyFont="1" applyFill="1" applyBorder="1" applyAlignment="1">
      <alignment horizontal="right" vertical="center" wrapText="1"/>
    </xf>
    <xf numFmtId="0" fontId="4" fillId="18" borderId="9" xfId="0" applyNumberFormat="1" applyFont="1" applyFill="1" applyBorder="1" applyAlignment="1">
      <alignment horizontal="center" vertical="center"/>
    </xf>
    <xf numFmtId="3" fontId="8" fillId="5" borderId="9" xfId="0" applyNumberFormat="1" applyFont="1" applyFill="1" applyBorder="1" applyAlignment="1">
      <alignment horizontal="right" vertical="center" wrapText="1"/>
    </xf>
    <xf numFmtId="0" fontId="2" fillId="5" borderId="10" xfId="0" applyFont="1" applyFill="1" applyBorder="1" applyAlignment="1">
      <alignment vertical="center"/>
    </xf>
    <xf numFmtId="41" fontId="26" fillId="0" borderId="0" xfId="0" applyNumberFormat="1" applyFont="1"/>
    <xf numFmtId="41" fontId="10" fillId="0" borderId="0" xfId="0" applyNumberFormat="1" applyFont="1"/>
    <xf numFmtId="41" fontId="10" fillId="4" borderId="0" xfId="0" applyNumberFormat="1" applyFont="1" applyFill="1"/>
    <xf numFmtId="41" fontId="0" fillId="4" borderId="0" xfId="0" applyNumberFormat="1" applyFont="1" applyFill="1"/>
    <xf numFmtId="0" fontId="17" fillId="0" borderId="0" xfId="0" applyFont="1" applyAlignment="1">
      <alignment horizontal="center" vertical="center" wrapText="1"/>
    </xf>
    <xf numFmtId="0" fontId="22" fillId="6" borderId="9" xfId="0" applyFont="1" applyFill="1" applyBorder="1" applyAlignment="1">
      <alignment horizontal="center" vertical="center" wrapText="1"/>
    </xf>
    <xf numFmtId="3" fontId="17" fillId="0" borderId="12" xfId="0" applyNumberFormat="1" applyFont="1" applyBorder="1" applyAlignment="1">
      <alignment horizontal="center" vertical="center" wrapText="1"/>
    </xf>
    <xf numFmtId="3" fontId="17" fillId="0" borderId="9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41" fillId="0" borderId="0" xfId="0" applyFont="1" applyAlignment="1">
      <alignment horizontal="center" vertical="center"/>
    </xf>
    <xf numFmtId="0" fontId="41" fillId="0" borderId="0" xfId="0" applyFont="1"/>
    <xf numFmtId="41" fontId="41" fillId="0" borderId="0" xfId="0" applyNumberFormat="1" applyFont="1"/>
    <xf numFmtId="3" fontId="41" fillId="0" borderId="0" xfId="0" applyNumberFormat="1" applyFont="1"/>
    <xf numFmtId="49" fontId="42" fillId="0" borderId="9" xfId="0" applyNumberFormat="1" applyFont="1" applyBorder="1" applyAlignment="1">
      <alignment horizontal="center" vertical="center" wrapText="1"/>
    </xf>
    <xf numFmtId="41" fontId="42" fillId="0" borderId="9" xfId="0" applyNumberFormat="1" applyFont="1" applyBorder="1" applyAlignment="1">
      <alignment horizontal="center" vertical="center" wrapText="1"/>
    </xf>
    <xf numFmtId="3" fontId="42" fillId="0" borderId="9" xfId="0" applyNumberFormat="1" applyFont="1" applyBorder="1" applyAlignment="1">
      <alignment horizontal="center" vertical="center" wrapText="1"/>
    </xf>
    <xf numFmtId="0" fontId="42" fillId="0" borderId="9" xfId="0" applyFont="1" applyBorder="1" applyAlignment="1">
      <alignment horizontal="center" vertical="center" wrapText="1"/>
    </xf>
    <xf numFmtId="0" fontId="42" fillId="5" borderId="9" xfId="0" applyNumberFormat="1" applyFont="1" applyFill="1" applyBorder="1" applyAlignment="1">
      <alignment horizontal="center" vertical="center" wrapText="1"/>
    </xf>
    <xf numFmtId="3" fontId="42" fillId="0" borderId="9" xfId="0" applyNumberFormat="1" applyFont="1" applyBorder="1" applyAlignment="1">
      <alignment vertical="center" wrapText="1"/>
    </xf>
    <xf numFmtId="41" fontId="42" fillId="0" borderId="9" xfId="0" applyNumberFormat="1" applyFont="1" applyBorder="1" applyAlignment="1">
      <alignment vertical="center"/>
    </xf>
    <xf numFmtId="0" fontId="41" fillId="0" borderId="0" xfId="0" applyFont="1" applyAlignment="1">
      <alignment vertical="center"/>
    </xf>
    <xf numFmtId="3" fontId="42" fillId="0" borderId="9" xfId="0" applyNumberFormat="1" applyFont="1" applyBorder="1" applyAlignment="1">
      <alignment vertical="center"/>
    </xf>
    <xf numFmtId="3" fontId="41" fillId="0" borderId="9" xfId="0" applyNumberFormat="1" applyFont="1" applyBorder="1" applyAlignment="1">
      <alignment vertical="center"/>
    </xf>
    <xf numFmtId="41" fontId="41" fillId="0" borderId="0" xfId="0" applyNumberFormat="1" applyFont="1" applyAlignment="1">
      <alignment vertical="center"/>
    </xf>
    <xf numFmtId="0" fontId="43" fillId="5" borderId="9" xfId="0" applyNumberFormat="1" applyFont="1" applyFill="1" applyBorder="1" applyAlignment="1">
      <alignment horizontal="center" vertical="center" wrapText="1"/>
    </xf>
    <xf numFmtId="3" fontId="41" fillId="0" borderId="9" xfId="0" applyNumberFormat="1" applyFont="1" applyBorder="1" applyAlignment="1">
      <alignment vertical="center" wrapText="1"/>
    </xf>
    <xf numFmtId="41" fontId="41" fillId="0" borderId="9" xfId="0" applyNumberFormat="1" applyFont="1" applyBorder="1" applyAlignment="1">
      <alignment vertical="center"/>
    </xf>
    <xf numFmtId="0" fontId="44" fillId="5" borderId="9" xfId="0" applyNumberFormat="1" applyFont="1" applyFill="1" applyBorder="1" applyAlignment="1">
      <alignment horizontal="center" vertical="center" wrapText="1"/>
    </xf>
    <xf numFmtId="0" fontId="41" fillId="5" borderId="9" xfId="0" applyNumberFormat="1" applyFont="1" applyFill="1" applyBorder="1" applyAlignment="1">
      <alignment horizontal="center" vertical="center" wrapText="1"/>
    </xf>
    <xf numFmtId="0" fontId="41" fillId="5" borderId="9" xfId="0" applyNumberFormat="1" applyFont="1" applyFill="1" applyBorder="1" applyAlignment="1">
      <alignment horizontal="left" vertical="center" wrapText="1"/>
    </xf>
    <xf numFmtId="41" fontId="41" fillId="0" borderId="9" xfId="0" applyNumberFormat="1" applyFont="1" applyBorder="1"/>
    <xf numFmtId="41" fontId="42" fillId="0" borderId="9" xfId="0" applyNumberFormat="1" applyFont="1" applyBorder="1"/>
    <xf numFmtId="0" fontId="45" fillId="5" borderId="9" xfId="0" applyNumberFormat="1" applyFont="1" applyFill="1" applyBorder="1" applyAlignment="1">
      <alignment horizontal="center" vertical="center" wrapText="1"/>
    </xf>
    <xf numFmtId="3" fontId="41" fillId="0" borderId="9" xfId="0" applyNumberFormat="1" applyFont="1" applyBorder="1"/>
    <xf numFmtId="41" fontId="41" fillId="0" borderId="9" xfId="0" applyNumberFormat="1" applyFont="1" applyBorder="1" applyAlignment="1">
      <alignment horizontal="center" vertical="center"/>
    </xf>
    <xf numFmtId="3" fontId="42" fillId="0" borderId="9" xfId="0" applyNumberFormat="1" applyFont="1" applyBorder="1" applyAlignment="1">
      <alignment horizontal="right" vertical="center" wrapText="1"/>
    </xf>
    <xf numFmtId="41" fontId="41" fillId="0" borderId="9" xfId="0" applyNumberFormat="1" applyFont="1" applyBorder="1" applyAlignment="1">
      <alignment horizontal="center"/>
    </xf>
    <xf numFmtId="0" fontId="41" fillId="5" borderId="9" xfId="0" quotePrefix="1" applyNumberFormat="1" applyFont="1" applyFill="1" applyBorder="1" applyAlignment="1">
      <alignment horizontal="center" vertical="center" wrapText="1"/>
    </xf>
    <xf numFmtId="3" fontId="41" fillId="0" borderId="9" xfId="0" applyNumberFormat="1" applyFont="1" applyBorder="1" applyAlignment="1">
      <alignment horizontal="right" vertical="center" wrapText="1"/>
    </xf>
    <xf numFmtId="0" fontId="41" fillId="5" borderId="10" xfId="0" applyNumberFormat="1" applyFont="1" applyFill="1" applyBorder="1" applyAlignment="1">
      <alignment horizontal="center" vertical="center" wrapText="1"/>
    </xf>
    <xf numFmtId="0" fontId="46" fillId="5" borderId="9" xfId="0" applyFont="1" applyFill="1" applyBorder="1" applyAlignment="1">
      <alignment horizontal="left" vertical="center" wrapText="1"/>
    </xf>
    <xf numFmtId="0" fontId="43" fillId="5" borderId="9" xfId="0" applyNumberFormat="1" applyFont="1" applyFill="1" applyBorder="1" applyAlignment="1">
      <alignment horizontal="center" vertical="center"/>
    </xf>
    <xf numFmtId="0" fontId="41" fillId="5" borderId="9" xfId="0" applyNumberFormat="1" applyFont="1" applyFill="1" applyBorder="1" applyAlignment="1">
      <alignment horizontal="center" vertical="center"/>
    </xf>
    <xf numFmtId="0" fontId="41" fillId="5" borderId="0" xfId="0" applyNumberFormat="1" applyFont="1" applyFill="1" applyBorder="1" applyAlignment="1">
      <alignment horizontal="center" vertical="center" wrapText="1"/>
    </xf>
    <xf numFmtId="0" fontId="42" fillId="5" borderId="9" xfId="0" applyNumberFormat="1" applyFont="1" applyFill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41" fontId="42" fillId="0" borderId="9" xfId="0" applyNumberFormat="1" applyFont="1" applyBorder="1" applyAlignment="1">
      <alignment horizontal="center" wrapText="1"/>
    </xf>
    <xf numFmtId="3" fontId="42" fillId="0" borderId="9" xfId="0" applyNumberFormat="1" applyFont="1" applyBorder="1" applyAlignment="1">
      <alignment horizontal="center" wrapText="1"/>
    </xf>
    <xf numFmtId="0" fontId="41" fillId="0" borderId="0" xfId="0" applyFont="1" applyAlignment="1">
      <alignment horizontal="center" wrapText="1"/>
    </xf>
    <xf numFmtId="3" fontId="42" fillId="0" borderId="0" xfId="0" applyNumberFormat="1" applyFont="1"/>
    <xf numFmtId="3" fontId="41" fillId="0" borderId="0" xfId="0" applyNumberFormat="1" applyFont="1" applyAlignment="1">
      <alignment horizontal="center" wrapText="1"/>
    </xf>
    <xf numFmtId="49" fontId="41" fillId="0" borderId="0" xfId="0" applyNumberFormat="1" applyFont="1" applyAlignment="1">
      <alignment horizontal="left" wrapText="1"/>
    </xf>
    <xf numFmtId="0" fontId="42" fillId="5" borderId="9" xfId="0" applyNumberFormat="1" applyFont="1" applyFill="1" applyBorder="1" applyAlignment="1">
      <alignment horizontal="left" vertical="center" wrapText="1"/>
    </xf>
    <xf numFmtId="0" fontId="43" fillId="5" borderId="9" xfId="0" applyNumberFormat="1" applyFont="1" applyFill="1" applyBorder="1" applyAlignment="1">
      <alignment horizontal="left" vertical="center" wrapText="1"/>
    </xf>
    <xf numFmtId="0" fontId="45" fillId="5" borderId="9" xfId="0" applyNumberFormat="1" applyFont="1" applyFill="1" applyBorder="1" applyAlignment="1">
      <alignment horizontal="left" vertical="center" wrapText="1"/>
    </xf>
    <xf numFmtId="0" fontId="43" fillId="5" borderId="10" xfId="0" applyFont="1" applyFill="1" applyBorder="1" applyAlignment="1">
      <alignment horizontal="left" vertical="center" wrapText="1"/>
    </xf>
    <xf numFmtId="0" fontId="43" fillId="5" borderId="9" xfId="0" applyFont="1" applyFill="1" applyBorder="1" applyAlignment="1">
      <alignment horizontal="left" vertical="center" wrapText="1"/>
    </xf>
    <xf numFmtId="0" fontId="46" fillId="5" borderId="9" xfId="0" applyFont="1" applyFill="1" applyBorder="1" applyAlignment="1">
      <alignment horizontal="left" wrapText="1"/>
    </xf>
    <xf numFmtId="0" fontId="41" fillId="5" borderId="10" xfId="0" applyFont="1" applyFill="1" applyBorder="1" applyAlignment="1">
      <alignment horizontal="left" vertical="center" wrapText="1"/>
    </xf>
    <xf numFmtId="0" fontId="41" fillId="5" borderId="10" xfId="0" applyFont="1" applyFill="1" applyBorder="1" applyAlignment="1">
      <alignment horizontal="left" wrapText="1"/>
    </xf>
    <xf numFmtId="0" fontId="42" fillId="5" borderId="9" xfId="0" applyNumberFormat="1" applyFont="1" applyFill="1" applyBorder="1" applyAlignment="1">
      <alignment horizontal="left" vertical="center"/>
    </xf>
    <xf numFmtId="0" fontId="41" fillId="0" borderId="0" xfId="0" applyFont="1" applyAlignment="1">
      <alignment horizontal="left" wrapText="1"/>
    </xf>
    <xf numFmtId="0" fontId="41" fillId="0" borderId="0" xfId="0" applyFont="1" applyAlignment="1">
      <alignment horizontal="left"/>
    </xf>
    <xf numFmtId="0" fontId="42" fillId="5" borderId="10" xfId="0" applyFont="1" applyFill="1" applyBorder="1" applyAlignment="1">
      <alignment horizontal="left" vertical="center" wrapText="1"/>
    </xf>
    <xf numFmtId="0" fontId="17" fillId="0" borderId="9" xfId="0" applyFont="1" applyBorder="1" applyAlignment="1">
      <alignment vertical="center"/>
    </xf>
    <xf numFmtId="0" fontId="17" fillId="6" borderId="10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3" fontId="17" fillId="0" borderId="9" xfId="0" applyNumberFormat="1" applyFont="1" applyBorder="1" applyAlignment="1">
      <alignment horizontal="center" vertical="center" wrapText="1"/>
    </xf>
    <xf numFmtId="0" fontId="17" fillId="0" borderId="0" xfId="0" applyFont="1" applyAlignment="1"/>
    <xf numFmtId="0" fontId="17" fillId="6" borderId="4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2" fillId="0" borderId="10" xfId="0" applyFont="1" applyFill="1" applyBorder="1" applyAlignment="1">
      <alignment horizontal="left" vertical="center" wrapText="1"/>
    </xf>
    <xf numFmtId="0" fontId="2" fillId="18" borderId="9" xfId="0" applyNumberFormat="1" applyFont="1" applyFill="1" applyBorder="1" applyAlignment="1">
      <alignment horizontal="center" vertical="center"/>
    </xf>
    <xf numFmtId="0" fontId="2" fillId="18" borderId="9" xfId="0" applyNumberFormat="1" applyFont="1" applyFill="1" applyBorder="1" applyAlignment="1">
      <alignment vertical="center" wrapText="1"/>
    </xf>
    <xf numFmtId="3" fontId="2" fillId="18" borderId="9" xfId="0" applyNumberFormat="1" applyFont="1" applyFill="1" applyBorder="1" applyAlignment="1">
      <alignment vertical="center"/>
    </xf>
    <xf numFmtId="0" fontId="17" fillId="5" borderId="1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3" fontId="17" fillId="0" borderId="9" xfId="0" applyNumberFormat="1" applyFont="1" applyFill="1" applyBorder="1" applyAlignment="1">
      <alignment horizontal="center" vertical="center" wrapText="1"/>
    </xf>
    <xf numFmtId="0" fontId="36" fillId="5" borderId="9" xfId="0" applyFont="1" applyFill="1" applyBorder="1" applyAlignment="1">
      <alignment horizontal="left" wrapText="1"/>
    </xf>
    <xf numFmtId="0" fontId="17" fillId="0" borderId="9" xfId="0" applyFont="1" applyBorder="1" applyAlignment="1">
      <alignment horizontal="left" vertical="center"/>
    </xf>
    <xf numFmtId="0" fontId="22" fillId="0" borderId="9" xfId="0" applyFont="1" applyBorder="1" applyAlignment="1">
      <alignment horizontal="right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vertical="center" wrapText="1"/>
    </xf>
    <xf numFmtId="0" fontId="12" fillId="5" borderId="12" xfId="0" applyFont="1" applyFill="1" applyBorder="1" applyAlignment="1">
      <alignment vertical="center" wrapText="1"/>
    </xf>
    <xf numFmtId="0" fontId="12" fillId="5" borderId="11" xfId="0" applyFont="1" applyFill="1" applyBorder="1" applyAlignment="1">
      <alignment vertical="center" wrapText="1"/>
    </xf>
    <xf numFmtId="41" fontId="13" fillId="5" borderId="11" xfId="2" applyFont="1" applyFill="1" applyBorder="1" applyAlignment="1">
      <alignment horizontal="right" vertical="center" wrapText="1"/>
    </xf>
    <xf numFmtId="3" fontId="13" fillId="5" borderId="9" xfId="0" applyNumberFormat="1" applyFont="1" applyFill="1" applyBorder="1" applyAlignment="1">
      <alignment horizontal="right" vertical="center" wrapText="1"/>
    </xf>
    <xf numFmtId="3" fontId="12" fillId="5" borderId="10" xfId="0" applyNumberFormat="1" applyFont="1" applyFill="1" applyBorder="1" applyAlignment="1">
      <alignment horizontal="center" vertical="center" wrapText="1"/>
    </xf>
    <xf numFmtId="3" fontId="12" fillId="5" borderId="12" xfId="0" applyNumberFormat="1" applyFont="1" applyFill="1" applyBorder="1" applyAlignment="1">
      <alignment horizontal="center" vertical="center" wrapText="1"/>
    </xf>
    <xf numFmtId="3" fontId="12" fillId="5" borderId="11" xfId="0" applyNumberFormat="1" applyFont="1" applyFill="1" applyBorder="1" applyAlignment="1">
      <alignment horizontal="center" vertical="center" wrapText="1"/>
    </xf>
    <xf numFmtId="41" fontId="12" fillId="5" borderId="11" xfId="2" applyFont="1" applyFill="1" applyBorder="1" applyAlignment="1">
      <alignment horizontal="right" vertical="center" wrapText="1"/>
    </xf>
    <xf numFmtId="3" fontId="12" fillId="5" borderId="9" xfId="0" applyNumberFormat="1" applyFont="1" applyFill="1" applyBorder="1" applyAlignment="1">
      <alignment horizontal="right" vertical="center" wrapText="1"/>
    </xf>
    <xf numFmtId="0" fontId="12" fillId="7" borderId="9" xfId="0" applyFont="1" applyFill="1" applyBorder="1" applyAlignment="1">
      <alignment horizontal="center" vertical="center"/>
    </xf>
    <xf numFmtId="0" fontId="4" fillId="5" borderId="10" xfId="0" applyNumberFormat="1" applyFont="1" applyFill="1" applyBorder="1" applyAlignment="1">
      <alignment vertical="center" wrapText="1"/>
    </xf>
    <xf numFmtId="0" fontId="41" fillId="0" borderId="0" xfId="0" applyFont="1" applyAlignment="1">
      <alignment horizontal="center" wrapText="1"/>
    </xf>
    <xf numFmtId="0" fontId="41" fillId="0" borderId="9" xfId="0" applyFont="1" applyBorder="1" applyAlignment="1">
      <alignment horizontal="left"/>
    </xf>
    <xf numFmtId="41" fontId="41" fillId="0" borderId="9" xfId="0" applyNumberFormat="1" applyFont="1" applyBorder="1" applyAlignment="1">
      <alignment horizontal="right" vertical="center"/>
    </xf>
    <xf numFmtId="0" fontId="42" fillId="0" borderId="10" xfId="0" applyFont="1" applyFill="1" applyBorder="1" applyAlignment="1">
      <alignment horizontal="left" vertical="center" wrapText="1"/>
    </xf>
    <xf numFmtId="0" fontId="17" fillId="0" borderId="10" xfId="0" quotePrefix="1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3" fontId="17" fillId="0" borderId="9" xfId="0" applyNumberFormat="1" applyFont="1" applyBorder="1" applyAlignment="1">
      <alignment horizontal="center" vertical="center" wrapText="1"/>
    </xf>
    <xf numFmtId="41" fontId="42" fillId="0" borderId="9" xfId="0" applyNumberFormat="1" applyFont="1" applyBorder="1" applyAlignment="1">
      <alignment horizontal="right" vertical="center"/>
    </xf>
    <xf numFmtId="41" fontId="42" fillId="0" borderId="9" xfId="0" applyNumberFormat="1" applyFont="1" applyBorder="1" applyAlignment="1">
      <alignment horizontal="right" vertical="center" wrapText="1"/>
    </xf>
    <xf numFmtId="3" fontId="17" fillId="0" borderId="9" xfId="0" applyNumberFormat="1" applyFont="1" applyBorder="1" applyAlignment="1">
      <alignment horizontal="center" vertical="center" wrapText="1"/>
    </xf>
    <xf numFmtId="3" fontId="17" fillId="0" borderId="9" xfId="0" applyNumberFormat="1" applyFont="1" applyBorder="1" applyAlignment="1">
      <alignment horizontal="center" vertical="center" wrapText="1"/>
    </xf>
    <xf numFmtId="3" fontId="19" fillId="19" borderId="0" xfId="0" applyNumberFormat="1" applyFont="1" applyFill="1" applyAlignment="1">
      <alignment vertical="center"/>
    </xf>
    <xf numFmtId="3" fontId="17" fillId="0" borderId="9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26" fillId="13" borderId="0" xfId="0" applyFont="1" applyFill="1" applyAlignment="1">
      <alignment horizontal="center" vertical="center"/>
    </xf>
    <xf numFmtId="0" fontId="4" fillId="5" borderId="10" xfId="0" applyNumberFormat="1" applyFont="1" applyFill="1" applyBorder="1" applyAlignment="1">
      <alignment horizontal="center" vertical="center" wrapText="1"/>
    </xf>
    <xf numFmtId="0" fontId="4" fillId="5" borderId="12" xfId="0" applyNumberFormat="1" applyFont="1" applyFill="1" applyBorder="1" applyAlignment="1">
      <alignment horizontal="center" vertical="center" wrapText="1"/>
    </xf>
    <xf numFmtId="0" fontId="4" fillId="5" borderId="1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" fillId="5" borderId="2" xfId="0" applyNumberFormat="1" applyFont="1" applyFill="1" applyBorder="1" applyAlignment="1">
      <alignment horizontal="center" vertical="center" wrapText="1"/>
    </xf>
    <xf numFmtId="0" fontId="2" fillId="5" borderId="3" xfId="0" applyNumberFormat="1" applyFont="1" applyFill="1" applyBorder="1" applyAlignment="1">
      <alignment horizontal="center" vertical="center" wrapText="1"/>
    </xf>
    <xf numFmtId="0" fontId="2" fillId="5" borderId="5" xfId="0" applyNumberFormat="1" applyFont="1" applyFill="1" applyBorder="1" applyAlignment="1">
      <alignment horizontal="center" vertical="center" wrapText="1"/>
    </xf>
    <xf numFmtId="0" fontId="2" fillId="5" borderId="6" xfId="0" applyNumberFormat="1" applyFont="1" applyFill="1" applyBorder="1" applyAlignment="1">
      <alignment horizontal="center" vertical="center" wrapText="1"/>
    </xf>
    <xf numFmtId="0" fontId="2" fillId="5" borderId="7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 wrapText="1"/>
    </xf>
    <xf numFmtId="0" fontId="2" fillId="5" borderId="4" xfId="0" applyNumberFormat="1" applyFont="1" applyFill="1" applyBorder="1" applyAlignment="1">
      <alignment horizontal="center" vertical="center"/>
    </xf>
    <xf numFmtId="0" fontId="2" fillId="5" borderId="8" xfId="0" applyNumberFormat="1" applyFont="1" applyFill="1" applyBorder="1" applyAlignment="1">
      <alignment horizontal="center" vertical="center"/>
    </xf>
    <xf numFmtId="3" fontId="2" fillId="5" borderId="4" xfId="0" applyNumberFormat="1" applyFont="1" applyFill="1" applyBorder="1" applyAlignment="1">
      <alignment horizontal="center" vertical="center" wrapText="1"/>
    </xf>
    <xf numFmtId="3" fontId="2" fillId="5" borderId="8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0" fontId="20" fillId="0" borderId="12" xfId="0" applyFont="1" applyBorder="1" applyAlignment="1">
      <alignment vertical="center"/>
    </xf>
    <xf numFmtId="0" fontId="18" fillId="0" borderId="9" xfId="0" applyFont="1" applyBorder="1" applyAlignment="1">
      <alignment horizontal="justify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left" vertical="center" wrapText="1"/>
    </xf>
    <xf numFmtId="0" fontId="18" fillId="5" borderId="12" xfId="0" applyFont="1" applyFill="1" applyBorder="1" applyAlignment="1">
      <alignment horizontal="left" vertical="center" wrapText="1"/>
    </xf>
    <xf numFmtId="0" fontId="18" fillId="5" borderId="11" xfId="0" applyFont="1" applyFill="1" applyBorder="1" applyAlignment="1">
      <alignment horizontal="left" vertical="center" wrapText="1"/>
    </xf>
    <xf numFmtId="0" fontId="18" fillId="0" borderId="9" xfId="0" applyFont="1" applyBorder="1" applyAlignment="1">
      <alignment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9" xfId="0" quotePrefix="1" applyFont="1" applyBorder="1" applyAlignment="1">
      <alignment vertical="center" wrapText="1"/>
    </xf>
    <xf numFmtId="0" fontId="17" fillId="0" borderId="9" xfId="0" quotePrefix="1" applyFont="1" applyBorder="1" applyAlignment="1">
      <alignment horizontal="justify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Border="1" applyAlignment="1">
      <alignment vertical="center" wrapText="1"/>
    </xf>
    <xf numFmtId="3" fontId="17" fillId="0" borderId="0" xfId="0" applyNumberFormat="1" applyFont="1" applyAlignment="1">
      <alignment horizontal="left" vertical="center"/>
    </xf>
    <xf numFmtId="0" fontId="22" fillId="6" borderId="9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0" borderId="9" xfId="0" quotePrefix="1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7" fillId="0" borderId="9" xfId="0" quotePrefix="1" applyFont="1" applyBorder="1" applyAlignment="1">
      <alignment horizontal="left" vertical="center"/>
    </xf>
    <xf numFmtId="0" fontId="17" fillId="0" borderId="10" xfId="0" quotePrefix="1" applyFont="1" applyBorder="1" applyAlignment="1">
      <alignment horizontal="left" vertical="center"/>
    </xf>
    <xf numFmtId="0" fontId="17" fillId="0" borderId="12" xfId="0" quotePrefix="1" applyFont="1" applyBorder="1" applyAlignment="1">
      <alignment horizontal="left" vertical="center"/>
    </xf>
    <xf numFmtId="0" fontId="17" fillId="0" borderId="11" xfId="0" quotePrefix="1" applyFont="1" applyBorder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2" fillId="0" borderId="12" xfId="0" applyFont="1" applyBorder="1"/>
    <xf numFmtId="0" fontId="12" fillId="0" borderId="11" xfId="0" applyFont="1" applyBorder="1"/>
    <xf numFmtId="0" fontId="12" fillId="6" borderId="10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left" vertical="center" wrapText="1"/>
    </xf>
    <xf numFmtId="0" fontId="13" fillId="0" borderId="10" xfId="0" applyFont="1" applyBorder="1" applyAlignment="1">
      <alignment vertical="center"/>
    </xf>
    <xf numFmtId="0" fontId="12" fillId="0" borderId="10" xfId="0" applyFont="1" applyBorder="1" applyAlignment="1">
      <alignment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horizontal="justify" vertical="center"/>
    </xf>
    <xf numFmtId="0" fontId="12" fillId="0" borderId="10" xfId="0" applyFont="1" applyBorder="1" applyAlignment="1">
      <alignment vertical="center"/>
    </xf>
    <xf numFmtId="0" fontId="12" fillId="6" borderId="1" xfId="0" applyFont="1" applyFill="1" applyBorder="1" applyAlignment="1">
      <alignment horizontal="center" vertical="center" wrapText="1"/>
    </xf>
    <xf numFmtId="0" fontId="12" fillId="0" borderId="2" xfId="0" applyFont="1" applyBorder="1"/>
    <xf numFmtId="0" fontId="12" fillId="0" borderId="3" xfId="0" applyFont="1" applyBorder="1"/>
    <xf numFmtId="0" fontId="15" fillId="6" borderId="5" xfId="0" applyFont="1" applyFill="1" applyBorder="1" applyAlignment="1">
      <alignment horizontal="center" vertical="center" wrapText="1"/>
    </xf>
    <xf numFmtId="0" fontId="12" fillId="0" borderId="6" xfId="0" applyFont="1" applyBorder="1"/>
    <xf numFmtId="0" fontId="12" fillId="0" borderId="7" xfId="0" applyFont="1" applyBorder="1"/>
    <xf numFmtId="0" fontId="13" fillId="0" borderId="10" xfId="0" applyFont="1" applyBorder="1" applyAlignment="1">
      <alignment horizontal="justify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0" borderId="10" xfId="0" quotePrefix="1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5" fillId="6" borderId="4" xfId="0" applyFont="1" applyFill="1" applyBorder="1" applyAlignment="1">
      <alignment horizontal="center" vertical="center" wrapText="1"/>
    </xf>
    <xf numFmtId="0" fontId="12" fillId="0" borderId="8" xfId="0" applyFont="1" applyBorder="1"/>
    <xf numFmtId="0" fontId="13" fillId="0" borderId="10" xfId="0" applyFont="1" applyFill="1" applyBorder="1" applyAlignment="1">
      <alignment horizontal="left" vertical="center"/>
    </xf>
    <xf numFmtId="0" fontId="12" fillId="0" borderId="10" xfId="0" applyFont="1" applyBorder="1" applyAlignment="1">
      <alignment horizontal="justify" vertical="center" wrapText="1"/>
    </xf>
    <xf numFmtId="0" fontId="12" fillId="0" borderId="10" xfId="0" applyFont="1" applyBorder="1"/>
    <xf numFmtId="0" fontId="12" fillId="5" borderId="10" xfId="0" applyFont="1" applyFill="1" applyBorder="1" applyAlignment="1">
      <alignment horizontal="justify" vertical="center" wrapText="1"/>
    </xf>
    <xf numFmtId="0" fontId="12" fillId="5" borderId="12" xfId="0" applyFont="1" applyFill="1" applyBorder="1"/>
    <xf numFmtId="0" fontId="12" fillId="5" borderId="11" xfId="0" applyFont="1" applyFill="1" applyBorder="1"/>
    <xf numFmtId="0" fontId="13" fillId="0" borderId="10" xfId="0" applyFont="1" applyBorder="1" applyAlignment="1">
      <alignment horizontal="left" vertical="center" wrapText="1"/>
    </xf>
    <xf numFmtId="0" fontId="12" fillId="0" borderId="5" xfId="0" applyFont="1" applyBorder="1"/>
    <xf numFmtId="0" fontId="12" fillId="0" borderId="10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3" fontId="13" fillId="0" borderId="10" xfId="0" applyNumberFormat="1" applyFont="1" applyBorder="1" applyAlignment="1">
      <alignment horizontal="center" vertical="center" wrapText="1"/>
    </xf>
    <xf numFmtId="0" fontId="13" fillId="5" borderId="10" xfId="0" applyFont="1" applyFill="1" applyBorder="1" applyAlignment="1">
      <alignment vertical="center" wrapText="1"/>
    </xf>
    <xf numFmtId="0" fontId="12" fillId="5" borderId="10" xfId="0" applyFont="1" applyFill="1" applyBorder="1" applyAlignment="1">
      <alignment vertical="center" wrapText="1"/>
    </xf>
    <xf numFmtId="0" fontId="12" fillId="5" borderId="10" xfId="0" applyFont="1" applyFill="1" applyBorder="1" applyAlignment="1">
      <alignment horizontal="justify" vertical="center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2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0" xfId="0" quotePrefix="1" applyFont="1" applyBorder="1" applyAlignment="1">
      <alignment vertical="center" wrapText="1"/>
    </xf>
    <xf numFmtId="0" fontId="12" fillId="0" borderId="12" xfId="0" quotePrefix="1" applyFont="1" applyBorder="1" applyAlignment="1">
      <alignment vertical="center" wrapText="1"/>
    </xf>
    <xf numFmtId="0" fontId="12" fillId="0" borderId="11" xfId="0" quotePrefix="1" applyFont="1" applyBorder="1" applyAlignment="1">
      <alignment vertical="center" wrapText="1"/>
    </xf>
    <xf numFmtId="0" fontId="13" fillId="0" borderId="12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2" xfId="0" applyFont="1" applyBorder="1"/>
    <xf numFmtId="0" fontId="13" fillId="0" borderId="11" xfId="0" applyFont="1" applyBorder="1"/>
    <xf numFmtId="0" fontId="17" fillId="0" borderId="10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17" fillId="0" borderId="10" xfId="0" quotePrefix="1" applyFont="1" applyBorder="1" applyAlignment="1">
      <alignment vertical="center"/>
    </xf>
    <xf numFmtId="0" fontId="17" fillId="0" borderId="10" xfId="0" quotePrefix="1" applyFont="1" applyBorder="1" applyAlignment="1">
      <alignment horizontal="justify" vertical="center" wrapText="1"/>
    </xf>
    <xf numFmtId="0" fontId="17" fillId="0" borderId="12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20" fillId="0" borderId="6" xfId="0" applyFont="1" applyBorder="1" applyAlignment="1">
      <alignment vertical="center"/>
    </xf>
    <xf numFmtId="0" fontId="17" fillId="0" borderId="12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9" fillId="0" borderId="10" xfId="0" quotePrefix="1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39" fillId="0" borderId="10" xfId="3" quotePrefix="1" applyFont="1" applyBorder="1" applyAlignment="1">
      <alignment vertical="center"/>
    </xf>
    <xf numFmtId="0" fontId="39" fillId="0" borderId="12" xfId="3" applyFont="1" applyBorder="1" applyAlignment="1">
      <alignment vertical="center"/>
    </xf>
    <xf numFmtId="0" fontId="39" fillId="0" borderId="11" xfId="3" applyFont="1" applyBorder="1" applyAlignment="1">
      <alignment vertical="center"/>
    </xf>
    <xf numFmtId="0" fontId="17" fillId="0" borderId="10" xfId="0" applyFont="1" applyBorder="1" applyAlignment="1">
      <alignment horizontal="justify" vertical="center" wrapText="1"/>
    </xf>
    <xf numFmtId="0" fontId="17" fillId="0" borderId="12" xfId="0" quotePrefix="1" applyFont="1" applyBorder="1" applyAlignment="1">
      <alignment vertical="center"/>
    </xf>
    <xf numFmtId="0" fontId="17" fillId="0" borderId="11" xfId="0" quotePrefix="1" applyFont="1" applyBorder="1" applyAlignment="1">
      <alignment vertical="center"/>
    </xf>
    <xf numFmtId="0" fontId="18" fillId="0" borderId="10" xfId="0" applyFont="1" applyBorder="1" applyAlignment="1">
      <alignment horizontal="justify" vertical="center" wrapText="1"/>
    </xf>
    <xf numFmtId="0" fontId="17" fillId="0" borderId="9" xfId="0" applyFont="1" applyBorder="1" applyAlignment="1">
      <alignment horizontal="justify" vertical="center"/>
    </xf>
    <xf numFmtId="0" fontId="17" fillId="0" borderId="0" xfId="0" applyFont="1" applyBorder="1" applyAlignment="1">
      <alignment vertical="center"/>
    </xf>
    <xf numFmtId="0" fontId="22" fillId="6" borderId="4" xfId="0" applyFont="1" applyFill="1" applyBorder="1" applyAlignment="1">
      <alignment horizontal="center" vertical="center" wrapText="1"/>
    </xf>
    <xf numFmtId="0" fontId="22" fillId="6" borderId="8" xfId="0" applyFont="1" applyFill="1" applyBorder="1" applyAlignment="1">
      <alignment horizontal="center" vertical="center" wrapText="1"/>
    </xf>
    <xf numFmtId="0" fontId="17" fillId="0" borderId="10" xfId="0" quotePrefix="1" applyFont="1" applyBorder="1" applyAlignment="1">
      <alignment vertical="center" wrapText="1"/>
    </xf>
    <xf numFmtId="0" fontId="17" fillId="0" borderId="12" xfId="0" quotePrefix="1" applyFont="1" applyBorder="1" applyAlignment="1">
      <alignment vertical="center" wrapText="1"/>
    </xf>
    <xf numFmtId="0" fontId="17" fillId="0" borderId="11" xfId="0" quotePrefix="1" applyFont="1" applyBorder="1" applyAlignment="1">
      <alignment vertical="center" wrapText="1"/>
    </xf>
    <xf numFmtId="0" fontId="17" fillId="0" borderId="10" xfId="0" quotePrefix="1" applyFont="1" applyBorder="1" applyAlignment="1">
      <alignment horizontal="justify" vertical="center"/>
    </xf>
    <xf numFmtId="0" fontId="17" fillId="0" borderId="12" xfId="0" quotePrefix="1" applyFont="1" applyBorder="1" applyAlignment="1">
      <alignment horizontal="justify" vertical="center"/>
    </xf>
    <xf numFmtId="0" fontId="17" fillId="0" borderId="11" xfId="0" quotePrefix="1" applyFont="1" applyBorder="1" applyAlignment="1">
      <alignment horizontal="justify" vertical="center"/>
    </xf>
    <xf numFmtId="0" fontId="18" fillId="0" borderId="12" xfId="0" applyFont="1" applyBorder="1" applyAlignment="1">
      <alignment horizontal="justify" vertical="center" wrapText="1"/>
    </xf>
    <xf numFmtId="0" fontId="18" fillId="0" borderId="11" xfId="0" applyFont="1" applyBorder="1" applyAlignment="1">
      <alignment horizontal="justify"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3" fontId="17" fillId="0" borderId="10" xfId="0" applyNumberFormat="1" applyFont="1" applyBorder="1" applyAlignment="1">
      <alignment horizontal="center" vertical="center" wrapText="1"/>
    </xf>
    <xf numFmtId="3" fontId="17" fillId="0" borderId="11" xfId="0" applyNumberFormat="1" applyFont="1" applyBorder="1" applyAlignment="1">
      <alignment horizontal="center" vertical="center" wrapText="1"/>
    </xf>
    <xf numFmtId="3" fontId="17" fillId="0" borderId="12" xfId="0" applyNumberFormat="1" applyFont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3" fontId="17" fillId="0" borderId="9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33" fillId="0" borderId="9" xfId="0" applyFont="1" applyBorder="1" applyAlignment="1">
      <alignment vertical="center" wrapText="1"/>
    </xf>
    <xf numFmtId="0" fontId="17" fillId="0" borderId="12" xfId="0" quotePrefix="1" applyFont="1" applyBorder="1" applyAlignment="1">
      <alignment horizontal="justify" vertical="center" wrapText="1"/>
    </xf>
    <xf numFmtId="0" fontId="17" fillId="0" borderId="11" xfId="0" quotePrefix="1" applyFont="1" applyBorder="1" applyAlignment="1">
      <alignment horizontal="justify" vertical="center" wrapText="1"/>
    </xf>
    <xf numFmtId="0" fontId="34" fillId="5" borderId="10" xfId="0" applyNumberFormat="1" applyFont="1" applyFill="1" applyBorder="1" applyAlignment="1">
      <alignment vertical="center" wrapText="1"/>
    </xf>
    <xf numFmtId="0" fontId="34" fillId="5" borderId="12" xfId="0" applyNumberFormat="1" applyFont="1" applyFill="1" applyBorder="1" applyAlignment="1">
      <alignment vertical="center" wrapText="1"/>
    </xf>
    <xf numFmtId="0" fontId="34" fillId="5" borderId="11" xfId="0" applyNumberFormat="1" applyFont="1" applyFill="1" applyBorder="1" applyAlignment="1">
      <alignment vertical="center" wrapText="1"/>
    </xf>
    <xf numFmtId="3" fontId="18" fillId="0" borderId="10" xfId="0" applyNumberFormat="1" applyFont="1" applyBorder="1" applyAlignment="1">
      <alignment horizontal="center" vertical="center" wrapText="1"/>
    </xf>
    <xf numFmtId="3" fontId="18" fillId="0" borderId="12" xfId="0" applyNumberFormat="1" applyFont="1" applyBorder="1" applyAlignment="1">
      <alignment horizontal="center" vertical="center" wrapText="1"/>
    </xf>
    <xf numFmtId="0" fontId="17" fillId="0" borderId="0" xfId="0" applyFont="1" applyAlignment="1"/>
    <xf numFmtId="0" fontId="17" fillId="0" borderId="0" xfId="0" applyFont="1" applyBorder="1" applyAlignment="1"/>
    <xf numFmtId="0" fontId="17" fillId="6" borderId="4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5" borderId="0" xfId="0" applyNumberFormat="1" applyFont="1" applyFill="1" applyBorder="1" applyAlignment="1">
      <alignment vertical="center" wrapText="1"/>
    </xf>
    <xf numFmtId="0" fontId="17" fillId="7" borderId="4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3" fontId="10" fillId="0" borderId="10" xfId="0" applyNumberFormat="1" applyFont="1" applyBorder="1" applyAlignment="1">
      <alignment horizontal="center" vertical="center" wrapText="1"/>
    </xf>
    <xf numFmtId="3" fontId="10" fillId="0" borderId="12" xfId="0" applyNumberFormat="1" applyFont="1" applyBorder="1" applyAlignment="1">
      <alignment horizontal="center" vertical="center" wrapText="1"/>
    </xf>
    <xf numFmtId="3" fontId="10" fillId="0" borderId="11" xfId="0" applyNumberFormat="1" applyFont="1" applyBorder="1" applyAlignment="1">
      <alignment horizontal="center" vertical="center" wrapText="1"/>
    </xf>
    <xf numFmtId="3" fontId="0" fillId="0" borderId="10" xfId="0" applyNumberFormat="1" applyFont="1" applyBorder="1" applyAlignment="1">
      <alignment horizontal="center" vertical="center" wrapText="1"/>
    </xf>
    <xf numFmtId="3" fontId="0" fillId="0" borderId="12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6" borderId="10" xfId="0" applyFont="1" applyFill="1" applyBorder="1" applyAlignment="1">
      <alignment horizontal="center" vertical="center" wrapText="1"/>
    </xf>
    <xf numFmtId="0" fontId="26" fillId="6" borderId="12" xfId="0" applyFont="1" applyFill="1" applyBorder="1" applyAlignment="1">
      <alignment horizontal="center" vertical="center" wrapText="1"/>
    </xf>
    <xf numFmtId="0" fontId="26" fillId="6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vertical="center"/>
    </xf>
    <xf numFmtId="3" fontId="0" fillId="0" borderId="0" xfId="0" applyNumberFormat="1" applyFont="1" applyAlignment="1">
      <alignment horizontal="left" vertical="center"/>
    </xf>
    <xf numFmtId="0" fontId="29" fillId="6" borderId="9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5" fillId="5" borderId="9" xfId="0" applyFont="1" applyFill="1" applyBorder="1" applyAlignment="1">
      <alignment horizontal="center" vertical="center" wrapText="1"/>
    </xf>
    <xf numFmtId="0" fontId="12" fillId="0" borderId="0" xfId="0" applyFont="1" applyAlignment="1"/>
    <xf numFmtId="0" fontId="12" fillId="0" borderId="0" xfId="0" applyFont="1" applyAlignment="1">
      <alignment vertical="center"/>
    </xf>
    <xf numFmtId="0" fontId="22" fillId="5" borderId="4" xfId="0" applyFont="1" applyFill="1" applyBorder="1" applyAlignment="1">
      <alignment horizontal="center" vertical="center" wrapText="1"/>
    </xf>
    <xf numFmtId="0" fontId="22" fillId="5" borderId="8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3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5" fillId="0" borderId="10" xfId="0" applyFont="1" applyBorder="1"/>
    <xf numFmtId="0" fontId="25" fillId="0" borderId="12" xfId="0" applyFont="1" applyBorder="1"/>
    <xf numFmtId="0" fontId="25" fillId="0" borderId="11" xfId="0" applyFont="1" applyBorder="1"/>
    <xf numFmtId="3" fontId="25" fillId="0" borderId="10" xfId="0" applyNumberFormat="1" applyFont="1" applyBorder="1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4" fillId="5" borderId="0" xfId="0" applyNumberFormat="1" applyFont="1" applyFill="1" applyBorder="1" applyAlignment="1">
      <alignment horizontal="center" vertical="center"/>
    </xf>
    <xf numFmtId="0" fontId="4" fillId="5" borderId="2" xfId="0" applyNumberFormat="1" applyFont="1" applyFill="1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2" fillId="0" borderId="10" xfId="0" applyFont="1" applyBorder="1" applyAlignment="1">
      <alignment wrapText="1"/>
    </xf>
    <xf numFmtId="0" fontId="12" fillId="0" borderId="12" xfId="0" applyFont="1" applyBorder="1" applyAlignment="1">
      <alignment wrapText="1"/>
    </xf>
    <xf numFmtId="0" fontId="12" fillId="0" borderId="11" xfId="0" applyFont="1" applyBorder="1" applyAlignment="1">
      <alignment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2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10" xfId="0" applyFont="1" applyBorder="1"/>
    <xf numFmtId="0" fontId="12" fillId="0" borderId="10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42" fillId="0" borderId="0" xfId="0" applyFont="1" applyAlignment="1">
      <alignment horizontal="center"/>
    </xf>
    <xf numFmtId="41" fontId="41" fillId="0" borderId="0" xfId="0" applyNumberFormat="1" applyFont="1" applyAlignment="1">
      <alignment horizontal="center"/>
    </xf>
    <xf numFmtId="0" fontId="42" fillId="0" borderId="10" xfId="0" applyFont="1" applyBorder="1" applyAlignment="1">
      <alignment horizontal="center" vertical="center" wrapText="1"/>
    </xf>
    <xf numFmtId="0" fontId="42" fillId="0" borderId="12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41" fillId="0" borderId="0" xfId="0" applyFont="1" applyAlignment="1">
      <alignment horizontal="center" wrapText="1"/>
    </xf>
    <xf numFmtId="0" fontId="42" fillId="0" borderId="0" xfId="0" applyFont="1" applyAlignment="1">
      <alignment horizontal="center" wrapText="1"/>
    </xf>
    <xf numFmtId="41" fontId="42" fillId="0" borderId="0" xfId="0" applyNumberFormat="1" applyFont="1" applyAlignment="1">
      <alignment horizontal="center"/>
    </xf>
    <xf numFmtId="0" fontId="19" fillId="0" borderId="11" xfId="0" applyFont="1" applyBorder="1" applyAlignment="1">
      <alignment vertical="center"/>
    </xf>
    <xf numFmtId="0" fontId="19" fillId="4" borderId="0" xfId="0" applyFont="1" applyFill="1" applyAlignment="1">
      <alignment horizontal="center" vertical="center"/>
    </xf>
  </cellXfs>
  <cellStyles count="5">
    <cellStyle name="Comma" xfId="1" builtinId="3"/>
    <cellStyle name="Comma [0]" xfId="2" builtinId="6"/>
    <cellStyle name="Comma 5 2" xfId="4"/>
    <cellStyle name="Normal" xfId="0" builtinId="0"/>
    <cellStyle name="Normal 2" xfId="3"/>
  </cellStyles>
  <dxfs count="0"/>
  <tableStyles count="0" defaultTableStyle="TableStyleMedium9" defaultPivotStyle="PivotStyleLight16"/>
  <colors>
    <mruColors>
      <color rgb="FFFFFF66"/>
      <color rgb="FF99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P2015\laporan%20If%20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uku bank"/>
      <sheetName val="KAS BANTU"/>
      <sheetName val="BUKU pembantu pajak"/>
      <sheetName val="lampiran rician SPJ"/>
      <sheetName val="laporan Pembelian barang"/>
      <sheetName val="RAB"/>
      <sheetName val="kinerja"/>
      <sheetName val="BKU"/>
      <sheetName val="HOK"/>
    </sheetNames>
    <sheetDataSet>
      <sheetData sheetId="0"/>
      <sheetData sheetId="1">
        <row r="13">
          <cell r="O13">
            <v>43636.363636363632</v>
          </cell>
        </row>
        <row r="14">
          <cell r="O14">
            <v>87272.727272727265</v>
          </cell>
        </row>
        <row r="17">
          <cell r="O17">
            <v>40909.090909090904</v>
          </cell>
        </row>
        <row r="18">
          <cell r="O18">
            <v>81818.181818181809</v>
          </cell>
        </row>
        <row r="22">
          <cell r="O22">
            <v>63409.090909090912</v>
          </cell>
        </row>
        <row r="23">
          <cell r="O23">
            <v>126818.18181818182</v>
          </cell>
        </row>
        <row r="26">
          <cell r="O26">
            <v>41590.909090909096</v>
          </cell>
        </row>
        <row r="27">
          <cell r="O27">
            <v>83181.818181818191</v>
          </cell>
        </row>
        <row r="31">
          <cell r="O31">
            <v>47727.272727272721</v>
          </cell>
        </row>
        <row r="32">
          <cell r="O32">
            <v>95454.545454545441</v>
          </cell>
        </row>
        <row r="34">
          <cell r="O34">
            <v>42272.727272727272</v>
          </cell>
        </row>
        <row r="35">
          <cell r="O35">
            <v>84545.454545454544</v>
          </cell>
        </row>
        <row r="36">
          <cell r="O36">
            <v>54545.454545454544</v>
          </cell>
        </row>
        <row r="37">
          <cell r="O37">
            <v>81818.181818181809</v>
          </cell>
        </row>
        <row r="41">
          <cell r="O41">
            <v>35250</v>
          </cell>
        </row>
        <row r="42">
          <cell r="O42">
            <v>0</v>
          </cell>
        </row>
        <row r="44">
          <cell r="O44">
            <v>43636.363636363632</v>
          </cell>
        </row>
        <row r="45">
          <cell r="O45">
            <v>87272.727272727265</v>
          </cell>
        </row>
        <row r="47">
          <cell r="O47">
            <v>41590.909090909096</v>
          </cell>
        </row>
        <row r="48">
          <cell r="O48">
            <v>83181.818181818191</v>
          </cell>
        </row>
        <row r="50">
          <cell r="O50">
            <v>41590.909090909096</v>
          </cell>
        </row>
        <row r="51">
          <cell r="O51">
            <v>83181.818181818191</v>
          </cell>
        </row>
        <row r="52">
          <cell r="O52">
            <v>43636.363636363632</v>
          </cell>
        </row>
        <row r="53">
          <cell r="O53">
            <v>87272.727272727265</v>
          </cell>
        </row>
        <row r="55">
          <cell r="O55">
            <v>88181.818181818191</v>
          </cell>
        </row>
        <row r="56">
          <cell r="O56">
            <v>132272.72727272726</v>
          </cell>
        </row>
        <row r="59">
          <cell r="O59">
            <v>72727.272727272721</v>
          </cell>
        </row>
        <row r="60">
          <cell r="O60">
            <v>109090.90909090909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0"/>
  <sheetViews>
    <sheetView tabSelected="1" topLeftCell="A40" workbookViewId="0">
      <selection activeCell="H58" sqref="H58"/>
    </sheetView>
  </sheetViews>
  <sheetFormatPr defaultRowHeight="15.75"/>
  <cols>
    <col min="1" max="1" width="2.5703125" style="138" customWidth="1"/>
    <col min="2" max="2" width="3" style="138" customWidth="1"/>
    <col min="3" max="3" width="18.28515625" style="138" customWidth="1"/>
    <col min="4" max="4" width="13.140625" style="152" customWidth="1"/>
    <col min="5" max="5" width="14.42578125" style="138" customWidth="1"/>
    <col min="6" max="6" width="13.42578125" style="138" customWidth="1"/>
    <col min="7" max="8" width="16.42578125" style="138" customWidth="1"/>
    <col min="9" max="9" width="15.28515625" style="138" customWidth="1"/>
    <col min="10" max="10" width="12.42578125" style="138" customWidth="1"/>
    <col min="11" max="11" width="16.28515625" style="138" customWidth="1"/>
    <col min="12" max="12" width="11.85546875" style="138" customWidth="1"/>
    <col min="13" max="16384" width="9.140625" style="138"/>
  </cols>
  <sheetData>
    <row r="1" spans="1:11">
      <c r="A1" s="138" t="s">
        <v>355</v>
      </c>
    </row>
    <row r="3" spans="1:11">
      <c r="C3" s="793" t="s">
        <v>1011</v>
      </c>
      <c r="D3" s="793"/>
      <c r="E3" s="793"/>
      <c r="F3" s="793"/>
      <c r="G3" s="793"/>
      <c r="H3" s="793"/>
      <c r="I3" s="793"/>
      <c r="J3" s="793"/>
      <c r="K3" s="793"/>
    </row>
    <row r="4" spans="1:11" ht="16.5" thickBot="1">
      <c r="C4" s="18"/>
      <c r="D4" s="306"/>
      <c r="E4" s="18"/>
      <c r="F4" s="18"/>
      <c r="G4" s="18"/>
      <c r="H4" s="18"/>
      <c r="I4" s="18"/>
      <c r="J4" s="18"/>
      <c r="K4" s="18"/>
    </row>
    <row r="5" spans="1:11" ht="48" thickBot="1">
      <c r="C5" s="139" t="s">
        <v>356</v>
      </c>
      <c r="D5" s="307" t="s">
        <v>368</v>
      </c>
      <c r="E5" s="140" t="s">
        <v>246</v>
      </c>
      <c r="F5" s="170" t="s">
        <v>10</v>
      </c>
      <c r="G5" s="141" t="s">
        <v>365</v>
      </c>
      <c r="H5" s="142" t="s">
        <v>357</v>
      </c>
      <c r="I5" s="167" t="s">
        <v>367</v>
      </c>
      <c r="J5" s="168" t="s">
        <v>395</v>
      </c>
      <c r="K5" s="156" t="s">
        <v>366</v>
      </c>
    </row>
    <row r="6" spans="1:11" ht="16.5" thickBot="1">
      <c r="C6" s="5">
        <f>APBDes2017!H30</f>
        <v>394407700</v>
      </c>
      <c r="D6" s="147"/>
      <c r="E6" s="5">
        <v>835038000</v>
      </c>
      <c r="F6" s="147">
        <v>10210000</v>
      </c>
      <c r="G6" s="174">
        <v>103300000</v>
      </c>
      <c r="H6" s="165">
        <f>SUM(C6+E6)</f>
        <v>1229445700</v>
      </c>
      <c r="I6" s="169">
        <v>165000000</v>
      </c>
      <c r="J6" s="428">
        <f>SUM(C6+E6+F6+I6)</f>
        <v>1404655700</v>
      </c>
      <c r="K6" s="162">
        <f>SUM(C6+E6+F6+G6+I6)</f>
        <v>1507955700</v>
      </c>
    </row>
    <row r="7" spans="1:11" ht="16.5" thickBot="1">
      <c r="C7" s="138" t="s">
        <v>369</v>
      </c>
      <c r="D7" s="148">
        <f>C6*60%</f>
        <v>236644620</v>
      </c>
      <c r="F7" s="147"/>
      <c r="G7" s="158" t="s">
        <v>358</v>
      </c>
      <c r="H7" s="107"/>
      <c r="I7" s="107"/>
      <c r="J7" s="166" t="s">
        <v>394</v>
      </c>
      <c r="K7" s="171">
        <f>K6*30%-28600000</f>
        <v>423786710</v>
      </c>
    </row>
    <row r="8" spans="1:11" ht="16.5" thickBot="1">
      <c r="C8" s="157" t="s">
        <v>370</v>
      </c>
      <c r="D8" s="148">
        <f>C6*40%</f>
        <v>157763080</v>
      </c>
      <c r="E8" s="146"/>
      <c r="F8" s="147">
        <f>SUM(E6*E8)</f>
        <v>0</v>
      </c>
      <c r="G8" s="159">
        <v>0.7</v>
      </c>
      <c r="H8" s="107"/>
      <c r="I8" s="107"/>
      <c r="J8" s="160"/>
      <c r="K8" s="147">
        <f>'RAB Penyelenggaraan Pem'!J78</f>
        <v>323671608</v>
      </c>
    </row>
    <row r="9" spans="1:11" ht="16.5" thickBot="1">
      <c r="C9" s="143" t="s">
        <v>397</v>
      </c>
      <c r="D9" s="147"/>
      <c r="E9" s="147">
        <f>E6*60%</f>
        <v>501022800</v>
      </c>
      <c r="F9" s="143"/>
      <c r="G9" s="158" t="s">
        <v>543</v>
      </c>
      <c r="H9" s="303">
        <f>H6*60%</f>
        <v>737667420</v>
      </c>
      <c r="I9" s="107"/>
      <c r="J9" s="161"/>
      <c r="K9" s="147">
        <f>K7-K8</f>
        <v>100115102</v>
      </c>
    </row>
    <row r="10" spans="1:11" ht="32.25" thickBot="1">
      <c r="C10" s="172" t="s">
        <v>398</v>
      </c>
      <c r="D10" s="147"/>
      <c r="E10" s="173">
        <f>E6*40%</f>
        <v>334015200</v>
      </c>
      <c r="F10" s="143"/>
      <c r="G10" s="304" t="s">
        <v>544</v>
      </c>
      <c r="H10" s="305">
        <f>H6*40%</f>
        <v>491778280</v>
      </c>
      <c r="I10" s="107"/>
      <c r="J10" s="161"/>
      <c r="K10" s="147"/>
    </row>
    <row r="11" spans="1:11" ht="16.5" thickBot="1">
      <c r="C11" s="143" t="s">
        <v>551</v>
      </c>
      <c r="D11" s="147">
        <f>C6*60%</f>
        <v>236644620</v>
      </c>
      <c r="E11" s="143"/>
      <c r="F11" s="143"/>
      <c r="G11" s="158"/>
      <c r="H11" s="107"/>
      <c r="I11" s="107"/>
      <c r="J11" s="161"/>
      <c r="K11" s="147"/>
    </row>
    <row r="12" spans="1:11" ht="16.5" thickBot="1">
      <c r="C12" s="143" t="s">
        <v>552</v>
      </c>
      <c r="D12" s="147">
        <f>E6*60%</f>
        <v>501022800</v>
      </c>
      <c r="E12" s="143"/>
      <c r="F12" s="147"/>
      <c r="G12" s="158"/>
      <c r="H12" s="107"/>
      <c r="I12" s="107"/>
      <c r="J12" s="161"/>
      <c r="K12" s="147"/>
    </row>
    <row r="13" spans="1:11" ht="16.5" thickBot="1">
      <c r="C13" s="143" t="s">
        <v>553</v>
      </c>
      <c r="D13" s="147">
        <f>SUM(D11:D12)</f>
        <v>737667420</v>
      </c>
      <c r="E13" s="147"/>
      <c r="F13" s="143"/>
      <c r="G13" s="158"/>
      <c r="H13" s="107"/>
      <c r="I13" s="107"/>
      <c r="J13" s="162"/>
      <c r="K13" s="147"/>
    </row>
    <row r="14" spans="1:11" ht="16.5" thickBot="1">
      <c r="C14" s="143"/>
      <c r="D14" s="147"/>
      <c r="E14" s="143"/>
      <c r="F14" s="143"/>
      <c r="G14" s="158"/>
      <c r="H14" s="107"/>
      <c r="I14" s="107"/>
      <c r="J14" s="163"/>
      <c r="K14" s="147"/>
    </row>
    <row r="15" spans="1:11" ht="16.5" thickBot="1">
      <c r="C15" s="143" t="s">
        <v>588</v>
      </c>
      <c r="D15" s="147">
        <f>C6*5%</f>
        <v>19720385</v>
      </c>
      <c r="E15" s="143"/>
      <c r="F15" s="143"/>
      <c r="G15" s="158"/>
      <c r="H15" s="107"/>
      <c r="I15" s="107"/>
      <c r="J15" s="164"/>
      <c r="K15" s="147"/>
    </row>
    <row r="16" spans="1:11" ht="16.5" thickBot="1">
      <c r="C16" s="143" t="s">
        <v>689</v>
      </c>
      <c r="D16" s="147">
        <f>D15*20%</f>
        <v>3944077</v>
      </c>
      <c r="E16" s="496">
        <v>12</v>
      </c>
      <c r="F16" s="147">
        <f>SUM(D16/E16)</f>
        <v>328673.08333333331</v>
      </c>
      <c r="G16" s="158"/>
      <c r="H16" s="107"/>
      <c r="I16" s="240"/>
      <c r="J16" s="248"/>
      <c r="K16" s="164"/>
    </row>
    <row r="17" spans="3:11" ht="16.5" thickBot="1">
      <c r="C17" s="143" t="s">
        <v>690</v>
      </c>
      <c r="D17" s="147">
        <f>D15*15%</f>
        <v>2958057.75</v>
      </c>
      <c r="E17" s="496">
        <v>12</v>
      </c>
      <c r="F17" s="147">
        <f t="shared" ref="F17:F19" si="0">SUM(D17/E17)</f>
        <v>246504.8125</v>
      </c>
      <c r="G17" s="158"/>
      <c r="H17" s="107"/>
      <c r="I17" s="240"/>
      <c r="J17" s="107"/>
      <c r="K17" s="254"/>
    </row>
    <row r="18" spans="3:11" ht="16.5" thickBot="1">
      <c r="C18" s="143" t="s">
        <v>691</v>
      </c>
      <c r="D18" s="147">
        <f>D15*10%</f>
        <v>1972038.5</v>
      </c>
      <c r="E18" s="496">
        <v>12</v>
      </c>
      <c r="F18" s="147">
        <f t="shared" si="0"/>
        <v>164336.54166666666</v>
      </c>
      <c r="G18" s="143"/>
      <c r="H18" s="144"/>
      <c r="I18" s="246"/>
      <c r="J18" s="248"/>
      <c r="K18" s="255"/>
    </row>
    <row r="19" spans="3:11" ht="16.5" thickBot="1">
      <c r="C19" s="143" t="s">
        <v>692</v>
      </c>
      <c r="D19" s="147">
        <f>D15*55%</f>
        <v>10846211.75</v>
      </c>
      <c r="E19" s="496">
        <f>12*8</f>
        <v>96</v>
      </c>
      <c r="F19" s="147">
        <f t="shared" si="0"/>
        <v>112981.37239583333</v>
      </c>
      <c r="G19" s="143"/>
      <c r="H19" s="143"/>
      <c r="I19" s="149"/>
      <c r="J19" s="247"/>
      <c r="K19" s="147"/>
    </row>
    <row r="20" spans="3:11" ht="16.5" thickBot="1">
      <c r="C20" s="143"/>
      <c r="D20" s="147"/>
      <c r="E20" s="143"/>
      <c r="F20" s="143"/>
      <c r="G20" s="143"/>
      <c r="H20" s="143"/>
      <c r="I20" s="149"/>
      <c r="J20" s="149"/>
      <c r="K20" s="147"/>
    </row>
    <row r="21" spans="3:11" ht="16.5" thickBot="1">
      <c r="C21" s="143"/>
      <c r="D21" s="147"/>
      <c r="E21" s="143"/>
      <c r="F21" s="143"/>
      <c r="G21" s="143"/>
      <c r="H21" s="143"/>
      <c r="I21" s="145"/>
      <c r="J21" s="145"/>
      <c r="K21" s="147"/>
    </row>
    <row r="22" spans="3:11" ht="16.5" thickBot="1">
      <c r="C22" s="143"/>
      <c r="D22" s="147"/>
      <c r="E22" s="143"/>
      <c r="F22" s="143"/>
      <c r="G22" s="143"/>
      <c r="H22" s="143"/>
      <c r="I22" s="143"/>
      <c r="J22" s="143"/>
      <c r="K22" s="145">
        <f>SUM(K8:K20)</f>
        <v>423786710</v>
      </c>
    </row>
    <row r="26" spans="3:11">
      <c r="I26" s="138">
        <f>3120000+12000000</f>
        <v>15120000</v>
      </c>
    </row>
    <row r="29" spans="3:11">
      <c r="C29" s="138" t="s">
        <v>359</v>
      </c>
    </row>
    <row r="31" spans="3:11">
      <c r="C31" s="151" t="s">
        <v>356</v>
      </c>
      <c r="D31" s="308" t="s">
        <v>246</v>
      </c>
      <c r="E31" s="151" t="s">
        <v>360</v>
      </c>
      <c r="F31" s="151" t="s">
        <v>361</v>
      </c>
      <c r="G31" s="151" t="s">
        <v>362</v>
      </c>
      <c r="H31" s="151" t="s">
        <v>363</v>
      </c>
    </row>
    <row r="32" spans="3:11">
      <c r="C32" s="152">
        <v>385831000</v>
      </c>
      <c r="D32" s="152">
        <v>654060000</v>
      </c>
      <c r="E32" s="152">
        <v>103200000</v>
      </c>
      <c r="F32" s="152">
        <v>115000000</v>
      </c>
      <c r="G32" s="152">
        <v>7744000</v>
      </c>
      <c r="H32" s="153">
        <f>C32+D32+E32+F32+G32</f>
        <v>1265835000</v>
      </c>
    </row>
    <row r="33" spans="2:12">
      <c r="B33" s="154">
        <v>0.6</v>
      </c>
      <c r="C33" s="152">
        <f>C32*B33</f>
        <v>231498600</v>
      </c>
      <c r="D33" s="152">
        <f>D32*B33</f>
        <v>392436000</v>
      </c>
      <c r="E33" s="152"/>
      <c r="F33" s="152"/>
      <c r="G33" s="152"/>
      <c r="H33" s="153"/>
    </row>
    <row r="34" spans="2:12">
      <c r="B34" s="154">
        <v>0.4</v>
      </c>
      <c r="C34" s="152">
        <f>C32*B34</f>
        <v>154332400</v>
      </c>
      <c r="D34" s="152">
        <f>D32*B34</f>
        <v>261624000</v>
      </c>
      <c r="E34" s="152"/>
      <c r="F34" s="152"/>
      <c r="G34" s="152"/>
      <c r="H34" s="153">
        <f>C34+D33</f>
        <v>546768400</v>
      </c>
      <c r="I34" s="155" t="s">
        <v>364</v>
      </c>
      <c r="J34" s="155"/>
    </row>
    <row r="38" spans="2:12">
      <c r="C38" s="138" t="s">
        <v>674</v>
      </c>
    </row>
    <row r="39" spans="2:12" ht="47.25">
      <c r="B39" s="494"/>
      <c r="C39" s="493"/>
      <c r="D39" s="473" t="s">
        <v>369</v>
      </c>
      <c r="E39" s="495" t="s">
        <v>688</v>
      </c>
      <c r="F39" s="478" t="s">
        <v>680</v>
      </c>
      <c r="G39" s="794" t="s">
        <v>681</v>
      </c>
      <c r="H39" s="482" t="s">
        <v>231</v>
      </c>
      <c r="I39" s="476" t="s">
        <v>683</v>
      </c>
      <c r="J39" s="486" t="s">
        <v>684</v>
      </c>
      <c r="K39" s="487" t="s">
        <v>685</v>
      </c>
      <c r="L39" s="490" t="s">
        <v>686</v>
      </c>
    </row>
    <row r="40" spans="2:12">
      <c r="B40" s="494"/>
      <c r="C40" s="493"/>
      <c r="D40" s="473" t="s">
        <v>682</v>
      </c>
      <c r="E40" s="474" t="s">
        <v>682</v>
      </c>
      <c r="F40" s="479" t="s">
        <v>682</v>
      </c>
      <c r="G40" s="794"/>
      <c r="H40" s="482" t="s">
        <v>682</v>
      </c>
      <c r="I40" s="476" t="s">
        <v>682</v>
      </c>
      <c r="J40" s="484" t="s">
        <v>682</v>
      </c>
      <c r="K40" s="488" t="s">
        <v>682</v>
      </c>
      <c r="L40" s="491" t="s">
        <v>682</v>
      </c>
    </row>
    <row r="41" spans="2:12">
      <c r="B41" s="494">
        <v>1</v>
      </c>
      <c r="C41" s="493" t="s">
        <v>71</v>
      </c>
      <c r="D41" s="473">
        <f>'RAB Penyelenggaraan Pem'!I17</f>
        <v>2600000</v>
      </c>
      <c r="E41" s="475">
        <f>'RAB Penyelenggaraan Pem'!I49</f>
        <v>104000</v>
      </c>
      <c r="F41" s="480">
        <f>'RAB Penyelenggaraan Pem'!I57*3</f>
        <v>156000</v>
      </c>
      <c r="G41" s="481">
        <v>3</v>
      </c>
      <c r="H41" s="483">
        <f>'RAB Penyelenggaraan Pem'!I45</f>
        <v>78000</v>
      </c>
      <c r="I41" s="476"/>
      <c r="J41" s="484"/>
      <c r="K41" s="489">
        <v>52000</v>
      </c>
      <c r="L41" s="492">
        <f>SUM(D41+E41+F41+H41+I41+J41-K41)</f>
        <v>2886000</v>
      </c>
    </row>
    <row r="42" spans="2:12">
      <c r="B42" s="494">
        <v>2</v>
      </c>
      <c r="C42" s="493" t="s">
        <v>181</v>
      </c>
      <c r="D42" s="473">
        <f>'RAB Penyelenggaraan Pem'!I18</f>
        <v>1820000</v>
      </c>
      <c r="E42" s="475">
        <f>'RAB Penyelenggaraan Pem'!I50</f>
        <v>72800</v>
      </c>
      <c r="F42" s="480">
        <f>'RAB Penyelenggaraan Pem'!I58*2</f>
        <v>72800</v>
      </c>
      <c r="G42" s="481">
        <v>2</v>
      </c>
      <c r="H42" s="483">
        <v>54600</v>
      </c>
      <c r="I42" s="477">
        <f>'RAB Penyelenggaraan Pem'!I72</f>
        <v>750000</v>
      </c>
      <c r="J42" s="484"/>
      <c r="K42" s="489">
        <v>36400</v>
      </c>
      <c r="L42" s="492">
        <f t="shared" ref="L42:L53" si="1">SUM(D42+E42+F42+H42+I42+J42-K42)</f>
        <v>2733800</v>
      </c>
    </row>
    <row r="43" spans="2:12">
      <c r="B43" s="494">
        <v>3</v>
      </c>
      <c r="C43" s="493" t="s">
        <v>667</v>
      </c>
      <c r="D43" s="473">
        <f>'RAB Penyelenggaraan Pem'!I19</f>
        <v>1456000.0000000002</v>
      </c>
      <c r="E43" s="475">
        <f>'RAB Penyelenggaraan Pem'!I51</f>
        <v>58240.000000000007</v>
      </c>
      <c r="F43" s="480">
        <f>'RAB Penyelenggaraan Pem'!I59*2</f>
        <v>58240.000000000007</v>
      </c>
      <c r="G43" s="481">
        <v>2</v>
      </c>
      <c r="H43" s="483">
        <v>44321</v>
      </c>
      <c r="I43" s="476"/>
      <c r="J43" s="485"/>
      <c r="K43" s="504">
        <v>29547</v>
      </c>
      <c r="L43" s="492">
        <f t="shared" si="1"/>
        <v>1587254.0000000002</v>
      </c>
    </row>
    <row r="44" spans="2:12">
      <c r="B44" s="494">
        <v>4</v>
      </c>
      <c r="C44" s="493" t="s">
        <v>668</v>
      </c>
      <c r="D44" s="473">
        <f>'RAB Penyelenggaraan Pem'!I20</f>
        <v>1404000</v>
      </c>
      <c r="E44" s="475">
        <f>'RAB Penyelenggaraan Pem'!I52</f>
        <v>56160</v>
      </c>
      <c r="F44" s="480">
        <f>'RAB Penyelenggaraan Pem'!I60*2</f>
        <v>56160</v>
      </c>
      <c r="G44" s="481">
        <v>2</v>
      </c>
      <c r="H44" s="483">
        <v>44321</v>
      </c>
      <c r="I44" s="476"/>
      <c r="J44" s="484"/>
      <c r="K44" s="489">
        <v>29547</v>
      </c>
      <c r="L44" s="492">
        <f t="shared" si="1"/>
        <v>1531094</v>
      </c>
    </row>
    <row r="45" spans="2:12">
      <c r="B45" s="494">
        <v>5</v>
      </c>
      <c r="C45" s="493" t="s">
        <v>182</v>
      </c>
      <c r="D45" s="473">
        <f>'RAB Penyelenggaraan Pem'!I21</f>
        <v>1300000</v>
      </c>
      <c r="E45" s="474"/>
      <c r="F45" s="479"/>
      <c r="G45" s="481">
        <v>0</v>
      </c>
      <c r="H45" s="503">
        <v>44321</v>
      </c>
      <c r="I45" s="477">
        <f>'RAB Penyelenggaraan Pem'!I73</f>
        <v>500000</v>
      </c>
      <c r="J45" s="484"/>
      <c r="K45" s="504">
        <v>29547</v>
      </c>
      <c r="L45" s="492">
        <f t="shared" si="1"/>
        <v>1814774</v>
      </c>
    </row>
    <row r="46" spans="2:12">
      <c r="B46" s="494">
        <v>6</v>
      </c>
      <c r="C46" s="493" t="s">
        <v>200</v>
      </c>
      <c r="D46" s="473">
        <f>'RAB Penyelenggaraan Pem'!I22</f>
        <v>1456000.0000000002</v>
      </c>
      <c r="E46" s="475">
        <f>'RAB Penyelenggaraan Pem'!I53</f>
        <v>58240.000000000007</v>
      </c>
      <c r="F46" s="480">
        <f>'RAB Penyelenggaraan Pem'!I61*3</f>
        <v>87360.000000000015</v>
      </c>
      <c r="G46" s="481">
        <v>3</v>
      </c>
      <c r="H46" s="483">
        <v>44321</v>
      </c>
      <c r="I46" s="476"/>
      <c r="J46" s="484"/>
      <c r="K46" s="489">
        <v>29547</v>
      </c>
      <c r="L46" s="492">
        <f t="shared" si="1"/>
        <v>1616374.0000000002</v>
      </c>
    </row>
    <row r="47" spans="2:12">
      <c r="B47" s="494">
        <v>7</v>
      </c>
      <c r="C47" s="493" t="s">
        <v>199</v>
      </c>
      <c r="D47" s="473">
        <f>'RAB Penyelenggaraan Pem'!I22</f>
        <v>1456000.0000000002</v>
      </c>
      <c r="E47" s="475">
        <f>'RAB Penyelenggaraan Pem'!I55</f>
        <v>58240.000000000007</v>
      </c>
      <c r="F47" s="480">
        <f>'RAB Penyelenggaraan Pem'!I63*2</f>
        <v>58240.000000000007</v>
      </c>
      <c r="G47" s="481">
        <v>2</v>
      </c>
      <c r="H47" s="483">
        <v>44321</v>
      </c>
      <c r="I47" s="476"/>
      <c r="J47" s="484"/>
      <c r="K47" s="505">
        <v>29547</v>
      </c>
      <c r="L47" s="492">
        <f t="shared" si="1"/>
        <v>1587254.0000000002</v>
      </c>
    </row>
    <row r="48" spans="2:12">
      <c r="B48" s="494">
        <v>8</v>
      </c>
      <c r="C48" s="493" t="s">
        <v>201</v>
      </c>
      <c r="D48" s="473">
        <f>'RAB Penyelenggaraan Pem'!I22</f>
        <v>1456000.0000000002</v>
      </c>
      <c r="E48" s="475">
        <f>'RAB Penyelenggaraan Pem'!I54</f>
        <v>58240.000000000007</v>
      </c>
      <c r="F48" s="480">
        <f>'RAB Penyelenggaraan Pem'!I62*3</f>
        <v>87360.000000000015</v>
      </c>
      <c r="G48" s="481">
        <v>3</v>
      </c>
      <c r="H48" s="483">
        <v>44321</v>
      </c>
      <c r="I48" s="476"/>
      <c r="J48" s="484"/>
      <c r="K48" s="489">
        <v>29547</v>
      </c>
      <c r="L48" s="492">
        <f t="shared" si="1"/>
        <v>1616374.0000000002</v>
      </c>
    </row>
    <row r="49" spans="2:12">
      <c r="B49" s="494">
        <v>9</v>
      </c>
      <c r="C49" s="493" t="s">
        <v>675</v>
      </c>
      <c r="D49" s="473">
        <f>'RAB Penyelenggaraan Pem'!I23</f>
        <v>1352000</v>
      </c>
      <c r="E49" s="475">
        <f>'RAB Penyelenggaraan Pem'!I56</f>
        <v>54080</v>
      </c>
      <c r="F49" s="480">
        <f>'RAB Penyelenggaraan Pem'!I64*2</f>
        <v>54080</v>
      </c>
      <c r="G49" s="481">
        <v>2</v>
      </c>
      <c r="H49" s="483">
        <v>44321</v>
      </c>
      <c r="I49" s="476"/>
      <c r="J49" s="484"/>
      <c r="K49" s="489">
        <v>29547</v>
      </c>
      <c r="L49" s="492">
        <f t="shared" si="1"/>
        <v>1474934</v>
      </c>
    </row>
    <row r="50" spans="2:12">
      <c r="B50" s="494">
        <v>10</v>
      </c>
      <c r="C50" s="493" t="s">
        <v>676</v>
      </c>
      <c r="D50" s="473">
        <f>D49</f>
        <v>1352000</v>
      </c>
      <c r="E50" s="475">
        <f>E49</f>
        <v>54080</v>
      </c>
      <c r="F50" s="480">
        <f>F49</f>
        <v>54080</v>
      </c>
      <c r="G50" s="481">
        <v>2</v>
      </c>
      <c r="H50" s="483">
        <v>44321</v>
      </c>
      <c r="I50" s="476"/>
      <c r="J50" s="484"/>
      <c r="K50" s="489">
        <v>29547</v>
      </c>
      <c r="L50" s="492">
        <f t="shared" si="1"/>
        <v>1474934</v>
      </c>
    </row>
    <row r="51" spans="2:12">
      <c r="B51" s="494">
        <v>11</v>
      </c>
      <c r="C51" s="493" t="s">
        <v>677</v>
      </c>
      <c r="D51" s="473">
        <f>D49</f>
        <v>1352000</v>
      </c>
      <c r="E51" s="475">
        <f>E49</f>
        <v>54080</v>
      </c>
      <c r="F51" s="480">
        <f>'RAB Penyelenggaraan Pem'!I66*3</f>
        <v>81120</v>
      </c>
      <c r="G51" s="481">
        <v>3</v>
      </c>
      <c r="H51" s="483">
        <v>44321</v>
      </c>
      <c r="I51" s="476"/>
      <c r="J51" s="484"/>
      <c r="K51" s="489">
        <v>29547</v>
      </c>
      <c r="L51" s="492">
        <f t="shared" si="1"/>
        <v>1501974</v>
      </c>
    </row>
    <row r="52" spans="2:12">
      <c r="B52" s="494">
        <v>12</v>
      </c>
      <c r="C52" s="493" t="s">
        <v>678</v>
      </c>
      <c r="D52" s="473">
        <f>D49</f>
        <v>1352000</v>
      </c>
      <c r="E52" s="475">
        <f>E49</f>
        <v>54080</v>
      </c>
      <c r="F52" s="480">
        <f>F49</f>
        <v>54080</v>
      </c>
      <c r="G52" s="481">
        <v>2</v>
      </c>
      <c r="H52" s="483">
        <v>44321</v>
      </c>
      <c r="I52" s="476"/>
      <c r="J52" s="484"/>
      <c r="K52" s="489">
        <v>29547</v>
      </c>
      <c r="L52" s="492">
        <f t="shared" si="1"/>
        <v>1474934</v>
      </c>
    </row>
    <row r="53" spans="2:12">
      <c r="B53" s="494">
        <v>13</v>
      </c>
      <c r="C53" s="493" t="s">
        <v>679</v>
      </c>
      <c r="D53" s="473">
        <f>D49</f>
        <v>1352000</v>
      </c>
      <c r="E53" s="475">
        <f>E49</f>
        <v>54080</v>
      </c>
      <c r="F53" s="480">
        <f>'RAB Penyelenggaraan Pem'!I68</f>
        <v>27040</v>
      </c>
      <c r="G53" s="481">
        <v>1</v>
      </c>
      <c r="H53" s="483">
        <v>44321</v>
      </c>
      <c r="I53" s="476"/>
      <c r="J53" s="484"/>
      <c r="K53" s="489">
        <v>29547</v>
      </c>
      <c r="L53" s="492">
        <f t="shared" si="1"/>
        <v>1447894</v>
      </c>
    </row>
    <row r="54" spans="2:12">
      <c r="D54" s="306">
        <f>SUM(D41:D53)</f>
        <v>19708000</v>
      </c>
      <c r="E54" s="681">
        <f>SUM(E41:E53)</f>
        <v>736320</v>
      </c>
      <c r="F54" s="681">
        <f>SUM(F41:F53)</f>
        <v>846560</v>
      </c>
      <c r="G54" s="680">
        <f>SUM(E54:F54)</f>
        <v>1582880</v>
      </c>
      <c r="H54" s="682">
        <f>SUM(H41:H53)</f>
        <v>620131</v>
      </c>
      <c r="I54" s="682">
        <f>SUM(I42:I45)</f>
        <v>1250000</v>
      </c>
      <c r="J54" s="506"/>
      <c r="K54" s="682">
        <f>SUM(K41:K53)</f>
        <v>413417</v>
      </c>
      <c r="L54" s="683">
        <f>SUM(L41:L53)</f>
        <v>22747594</v>
      </c>
    </row>
    <row r="55" spans="2:12">
      <c r="D55" s="152">
        <v>2600000</v>
      </c>
      <c r="E55" s="502">
        <v>0.03</v>
      </c>
      <c r="F55" s="152">
        <f>D55*E55</f>
        <v>78000</v>
      </c>
      <c r="K55" s="138" t="s">
        <v>23</v>
      </c>
    </row>
    <row r="56" spans="2:12">
      <c r="C56" s="138" t="s">
        <v>693</v>
      </c>
      <c r="E56" s="502">
        <v>0.02</v>
      </c>
      <c r="F56" s="152">
        <f>D55*E56</f>
        <v>52000</v>
      </c>
    </row>
    <row r="57" spans="2:12">
      <c r="E57" s="502"/>
      <c r="F57" s="152">
        <f>SUM(F55:F56)</f>
        <v>130000</v>
      </c>
    </row>
    <row r="58" spans="2:12">
      <c r="D58" s="152">
        <v>1820000</v>
      </c>
      <c r="E58" s="502">
        <v>0.03</v>
      </c>
      <c r="F58" s="152">
        <f>D58*E58</f>
        <v>54600</v>
      </c>
    </row>
    <row r="59" spans="2:12">
      <c r="E59" s="502">
        <v>0.02</v>
      </c>
      <c r="F59" s="152">
        <f>D58*E59</f>
        <v>36400</v>
      </c>
    </row>
    <row r="60" spans="2:12">
      <c r="F60" s="152">
        <f>SUM(F58:F59)</f>
        <v>91000</v>
      </c>
    </row>
    <row r="61" spans="2:12">
      <c r="D61" s="152">
        <v>1477352.7</v>
      </c>
      <c r="E61" s="502">
        <v>0.03</v>
      </c>
      <c r="F61" s="152">
        <f>D61*E61</f>
        <v>44320.580999999998</v>
      </c>
    </row>
    <row r="62" spans="2:12">
      <c r="E62" s="502">
        <v>0.02</v>
      </c>
      <c r="F62" s="152">
        <f>D61*E62</f>
        <v>29547.054</v>
      </c>
    </row>
    <row r="63" spans="2:12">
      <c r="F63" s="152">
        <f>SUM(F61:F62)</f>
        <v>73867.634999999995</v>
      </c>
    </row>
    <row r="66" spans="4:5">
      <c r="D66" s="629"/>
    </row>
    <row r="67" spans="4:5">
      <c r="D67" s="629"/>
      <c r="E67" s="152"/>
    </row>
    <row r="68" spans="4:5">
      <c r="E68" s="152"/>
    </row>
    <row r="69" spans="4:5">
      <c r="E69" s="152"/>
    </row>
    <row r="70" spans="4:5">
      <c r="E70" s="152"/>
    </row>
  </sheetData>
  <mergeCells count="2">
    <mergeCell ref="C3:K3"/>
    <mergeCell ref="G39:G40"/>
  </mergeCells>
  <pageMargins left="0" right="0" top="0.5" bottom="0.5" header="0.3" footer="0.3"/>
  <pageSetup paperSize="256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70C0"/>
  </sheetPr>
  <dimension ref="A1"/>
  <sheetViews>
    <sheetView workbookViewId="0">
      <selection activeCell="G24" sqref="G24"/>
    </sheetView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</sheetPr>
  <dimension ref="B1:O123"/>
  <sheetViews>
    <sheetView topLeftCell="A70" workbookViewId="0">
      <selection activeCell="H6" sqref="H6"/>
    </sheetView>
  </sheetViews>
  <sheetFormatPr defaultRowHeight="15"/>
  <cols>
    <col min="1" max="1" width="3.7109375" customWidth="1"/>
    <col min="2" max="2" width="5.28515625" customWidth="1"/>
    <col min="5" max="5" width="16.42578125" customWidth="1"/>
    <col min="6" max="6" width="5.140625" customWidth="1"/>
    <col min="7" max="7" width="4.42578125" customWidth="1"/>
    <col min="8" max="8" width="19.28515625" customWidth="1"/>
    <col min="9" max="9" width="10.140625" customWidth="1"/>
    <col min="10" max="10" width="9.7109375" customWidth="1"/>
    <col min="11" max="11" width="11.42578125" customWidth="1"/>
    <col min="12" max="12" width="10.140625" customWidth="1"/>
    <col min="13" max="13" width="10.28515625" customWidth="1"/>
  </cols>
  <sheetData>
    <row r="1" spans="2:13">
      <c r="B1" s="999" t="s">
        <v>254</v>
      </c>
      <c r="C1" s="999"/>
      <c r="D1" s="999"/>
      <c r="E1" s="999"/>
      <c r="F1" s="999"/>
      <c r="G1" s="999"/>
      <c r="H1" s="999"/>
      <c r="I1" s="999"/>
      <c r="J1" s="999"/>
      <c r="K1" s="999"/>
      <c r="L1" s="999"/>
      <c r="M1" s="999"/>
    </row>
    <row r="2" spans="2:13">
      <c r="B2" s="999" t="s">
        <v>255</v>
      </c>
      <c r="C2" s="999"/>
      <c r="D2" s="999"/>
      <c r="E2" s="999"/>
      <c r="F2" s="999"/>
      <c r="G2" s="999"/>
      <c r="H2" s="999"/>
      <c r="I2" s="999"/>
      <c r="J2" s="999"/>
      <c r="K2" s="999"/>
      <c r="L2" s="999"/>
      <c r="M2" s="999"/>
    </row>
    <row r="3" spans="2:13">
      <c r="B3" s="999" t="s">
        <v>256</v>
      </c>
      <c r="C3" s="999"/>
      <c r="D3" s="999"/>
      <c r="E3" s="999"/>
      <c r="F3" s="999"/>
      <c r="G3" s="999"/>
      <c r="H3" s="999"/>
      <c r="I3" s="999"/>
      <c r="J3" s="999"/>
      <c r="K3" s="999"/>
      <c r="L3" s="999"/>
      <c r="M3" s="999"/>
    </row>
    <row r="4" spans="2:13">
      <c r="B4" s="999" t="s">
        <v>257</v>
      </c>
      <c r="C4" s="999"/>
      <c r="D4" s="999"/>
      <c r="E4" s="999"/>
      <c r="F4" s="999"/>
      <c r="G4" s="999"/>
      <c r="H4" s="999"/>
      <c r="I4" s="999"/>
      <c r="J4" s="999"/>
      <c r="K4" s="999"/>
      <c r="L4" s="999"/>
      <c r="M4" s="999"/>
    </row>
    <row r="5" spans="2:13">
      <c r="B5" s="110"/>
      <c r="C5" s="110"/>
      <c r="D5" s="110"/>
      <c r="F5" s="110"/>
      <c r="G5" s="110"/>
      <c r="I5" s="111"/>
      <c r="J5" s="111"/>
      <c r="K5" s="111"/>
      <c r="L5" s="111"/>
      <c r="M5" s="111"/>
    </row>
    <row r="6" spans="2:13">
      <c r="B6" s="112" t="s">
        <v>258</v>
      </c>
      <c r="C6" s="112" t="s">
        <v>259</v>
      </c>
      <c r="D6" s="112"/>
      <c r="F6" s="110"/>
      <c r="G6" s="110"/>
      <c r="I6" s="111"/>
      <c r="J6" s="111"/>
      <c r="K6" s="111"/>
      <c r="L6" s="111"/>
      <c r="M6" s="111"/>
    </row>
    <row r="7" spans="2:13">
      <c r="B7" s="110"/>
      <c r="C7" s="110"/>
      <c r="D7" s="110"/>
      <c r="F7" s="110"/>
      <c r="G7" s="110"/>
      <c r="I7" s="111"/>
      <c r="J7" s="111"/>
      <c r="K7" s="111"/>
      <c r="L7" s="111"/>
      <c r="M7" s="111"/>
    </row>
    <row r="8" spans="2:13" ht="99.75" customHeight="1">
      <c r="B8" s="113" t="s">
        <v>260</v>
      </c>
      <c r="C8" s="114" t="s">
        <v>261</v>
      </c>
      <c r="D8" s="114" t="s">
        <v>262</v>
      </c>
      <c r="E8" s="113" t="s">
        <v>263</v>
      </c>
      <c r="F8" s="115" t="s">
        <v>57</v>
      </c>
      <c r="G8" s="116" t="s">
        <v>219</v>
      </c>
      <c r="H8" s="113" t="s">
        <v>264</v>
      </c>
      <c r="I8" s="117" t="s">
        <v>265</v>
      </c>
      <c r="J8" s="117" t="s">
        <v>266</v>
      </c>
      <c r="K8" s="117" t="s">
        <v>267</v>
      </c>
      <c r="L8" s="118" t="s">
        <v>268</v>
      </c>
      <c r="M8" s="118" t="s">
        <v>269</v>
      </c>
    </row>
    <row r="9" spans="2:13">
      <c r="B9" s="119">
        <v>1</v>
      </c>
      <c r="C9" s="119">
        <v>2</v>
      </c>
      <c r="D9" s="119">
        <v>3</v>
      </c>
      <c r="E9" s="119">
        <v>4</v>
      </c>
      <c r="F9" s="119">
        <v>5</v>
      </c>
      <c r="G9" s="119">
        <v>6</v>
      </c>
      <c r="H9" s="119">
        <v>7</v>
      </c>
      <c r="I9" s="120">
        <v>8</v>
      </c>
      <c r="J9" s="120">
        <v>9</v>
      </c>
      <c r="K9" s="120">
        <v>10</v>
      </c>
      <c r="L9" s="120">
        <v>11</v>
      </c>
      <c r="M9" s="120">
        <v>12</v>
      </c>
    </row>
    <row r="10" spans="2:13">
      <c r="B10" s="113">
        <v>1</v>
      </c>
      <c r="C10" s="113" t="s">
        <v>270</v>
      </c>
      <c r="D10" s="113" t="s">
        <v>271</v>
      </c>
      <c r="E10" s="107" t="s">
        <v>272</v>
      </c>
      <c r="F10" s="113">
        <v>2</v>
      </c>
      <c r="G10" s="113" t="s">
        <v>102</v>
      </c>
      <c r="H10" s="107" t="s">
        <v>273</v>
      </c>
      <c r="I10" s="108">
        <v>250000</v>
      </c>
      <c r="J10" s="108">
        <v>500000</v>
      </c>
      <c r="K10" s="108">
        <v>500000</v>
      </c>
      <c r="L10" s="108">
        <v>0</v>
      </c>
      <c r="M10" s="108">
        <v>0</v>
      </c>
    </row>
    <row r="11" spans="2:13">
      <c r="B11" s="113">
        <v>2</v>
      </c>
      <c r="C11" s="113" t="s">
        <v>274</v>
      </c>
      <c r="D11" s="113" t="s">
        <v>275</v>
      </c>
      <c r="E11" s="107" t="s">
        <v>276</v>
      </c>
      <c r="F11" s="113">
        <v>1</v>
      </c>
      <c r="G11" s="113" t="s">
        <v>102</v>
      </c>
      <c r="H11" s="107" t="s">
        <v>277</v>
      </c>
      <c r="I11" s="108">
        <v>110000</v>
      </c>
      <c r="J11" s="108">
        <f t="shared" ref="J11:J16" si="0">F11*I11</f>
        <v>110000</v>
      </c>
      <c r="K11" s="121">
        <f t="shared" ref="K11:K16" si="1">J11</f>
        <v>110000</v>
      </c>
      <c r="L11" s="108"/>
      <c r="M11" s="108"/>
    </row>
    <row r="12" spans="2:13">
      <c r="B12" s="113"/>
      <c r="C12" s="113"/>
      <c r="D12" s="113"/>
      <c r="E12" s="107"/>
      <c r="F12" s="113">
        <v>1</v>
      </c>
      <c r="G12" s="113" t="s">
        <v>102</v>
      </c>
      <c r="H12" s="107" t="s">
        <v>278</v>
      </c>
      <c r="I12" s="108">
        <v>77000</v>
      </c>
      <c r="J12" s="108">
        <f t="shared" si="0"/>
        <v>77000</v>
      </c>
      <c r="K12" s="121">
        <f t="shared" si="1"/>
        <v>77000</v>
      </c>
      <c r="L12" s="108"/>
      <c r="M12" s="108"/>
    </row>
    <row r="13" spans="2:13">
      <c r="B13" s="113"/>
      <c r="C13" s="113"/>
      <c r="D13" s="113"/>
      <c r="E13" s="107"/>
      <c r="F13" s="113">
        <v>8</v>
      </c>
      <c r="G13" s="113" t="s">
        <v>102</v>
      </c>
      <c r="H13" s="107" t="s">
        <v>279</v>
      </c>
      <c r="I13" s="108">
        <v>16500</v>
      </c>
      <c r="J13" s="108">
        <f t="shared" si="0"/>
        <v>132000</v>
      </c>
      <c r="K13" s="121">
        <f t="shared" si="1"/>
        <v>132000</v>
      </c>
      <c r="L13" s="108"/>
      <c r="M13" s="108"/>
    </row>
    <row r="14" spans="2:13">
      <c r="B14" s="113"/>
      <c r="C14" s="113"/>
      <c r="D14" s="113"/>
      <c r="E14" s="107"/>
      <c r="F14" s="113">
        <v>5</v>
      </c>
      <c r="G14" s="113" t="s">
        <v>102</v>
      </c>
      <c r="H14" s="107" t="s">
        <v>280</v>
      </c>
      <c r="I14" s="108">
        <v>25000</v>
      </c>
      <c r="J14" s="108">
        <f t="shared" si="0"/>
        <v>125000</v>
      </c>
      <c r="K14" s="121">
        <f t="shared" si="1"/>
        <v>125000</v>
      </c>
      <c r="L14" s="108"/>
      <c r="M14" s="108"/>
    </row>
    <row r="15" spans="2:13">
      <c r="B15" s="113"/>
      <c r="C15" s="113"/>
      <c r="D15" s="113"/>
      <c r="E15" s="107"/>
      <c r="F15" s="113">
        <v>2</v>
      </c>
      <c r="G15" s="113" t="s">
        <v>102</v>
      </c>
      <c r="H15" s="107" t="s">
        <v>281</v>
      </c>
      <c r="I15" s="108">
        <v>27500</v>
      </c>
      <c r="J15" s="108">
        <f t="shared" si="0"/>
        <v>55000</v>
      </c>
      <c r="K15" s="121">
        <f t="shared" si="1"/>
        <v>55000</v>
      </c>
      <c r="L15" s="108"/>
      <c r="M15" s="108"/>
    </row>
    <row r="16" spans="2:13">
      <c r="B16" s="113"/>
      <c r="C16" s="113"/>
      <c r="D16" s="113"/>
      <c r="E16" s="107"/>
      <c r="F16" s="113">
        <v>3</v>
      </c>
      <c r="G16" s="113" t="s">
        <v>102</v>
      </c>
      <c r="H16" s="107" t="s">
        <v>282</v>
      </c>
      <c r="I16" s="108">
        <v>3000</v>
      </c>
      <c r="J16" s="108">
        <f t="shared" si="0"/>
        <v>9000</v>
      </c>
      <c r="K16" s="121">
        <f t="shared" si="1"/>
        <v>9000</v>
      </c>
      <c r="L16" s="108"/>
      <c r="M16" s="108"/>
    </row>
    <row r="17" spans="2:13">
      <c r="B17" s="122"/>
      <c r="C17" s="122"/>
      <c r="D17" s="122"/>
      <c r="E17" s="123" t="s">
        <v>221</v>
      </c>
      <c r="F17" s="122"/>
      <c r="G17" s="122"/>
      <c r="H17" s="123"/>
      <c r="I17" s="124"/>
      <c r="J17" s="124"/>
      <c r="K17" s="125">
        <f>SUM(J11:J16)</f>
        <v>508000</v>
      </c>
      <c r="L17" s="124">
        <v>0</v>
      </c>
      <c r="M17" s="124">
        <v>0</v>
      </c>
    </row>
    <row r="18" spans="2:13">
      <c r="B18" s="113">
        <v>3</v>
      </c>
      <c r="C18" s="113" t="s">
        <v>283</v>
      </c>
      <c r="D18" s="113" t="s">
        <v>284</v>
      </c>
      <c r="E18" s="107" t="s">
        <v>285</v>
      </c>
      <c r="F18" s="113">
        <v>2</v>
      </c>
      <c r="G18" s="113" t="s">
        <v>286</v>
      </c>
      <c r="H18" s="107" t="s">
        <v>287</v>
      </c>
      <c r="I18" s="108">
        <v>850000</v>
      </c>
      <c r="J18" s="108">
        <f>F18*I18</f>
        <v>1700000</v>
      </c>
      <c r="K18" s="108">
        <f>J18</f>
        <v>1700000</v>
      </c>
      <c r="L18" s="108">
        <v>0</v>
      </c>
      <c r="M18" s="108">
        <v>0</v>
      </c>
    </row>
    <row r="19" spans="2:13">
      <c r="B19" s="113">
        <v>4</v>
      </c>
      <c r="C19" s="113" t="s">
        <v>283</v>
      </c>
      <c r="D19" s="113" t="s">
        <v>284</v>
      </c>
      <c r="E19" s="107" t="s">
        <v>276</v>
      </c>
      <c r="F19" s="113">
        <v>20</v>
      </c>
      <c r="G19" s="113" t="s">
        <v>288</v>
      </c>
      <c r="H19" s="107" t="s">
        <v>289</v>
      </c>
      <c r="I19" s="108">
        <v>80000</v>
      </c>
      <c r="J19" s="108">
        <f>F19*I19</f>
        <v>1600000</v>
      </c>
      <c r="K19" s="126">
        <f>J19</f>
        <v>1600000</v>
      </c>
      <c r="L19" s="108"/>
      <c r="M19" s="108"/>
    </row>
    <row r="20" spans="2:13">
      <c r="B20" s="113"/>
      <c r="C20" s="113"/>
      <c r="D20" s="113"/>
      <c r="E20" s="107"/>
      <c r="F20" s="113">
        <v>2000</v>
      </c>
      <c r="G20" s="113" t="s">
        <v>102</v>
      </c>
      <c r="H20" s="107" t="s">
        <v>290</v>
      </c>
      <c r="I20" s="108">
        <v>800</v>
      </c>
      <c r="J20" s="108">
        <f>F20*I20</f>
        <v>1600000</v>
      </c>
      <c r="K20" s="126">
        <f>J20</f>
        <v>1600000</v>
      </c>
      <c r="L20" s="108"/>
      <c r="M20" s="108"/>
    </row>
    <row r="21" spans="2:13">
      <c r="B21" s="122"/>
      <c r="C21" s="122"/>
      <c r="D21" s="122"/>
      <c r="E21" s="123" t="s">
        <v>221</v>
      </c>
      <c r="F21" s="122"/>
      <c r="G21" s="122"/>
      <c r="H21" s="123"/>
      <c r="I21" s="124"/>
      <c r="J21" s="124"/>
      <c r="K21" s="127">
        <f>SUM(J19:J20)</f>
        <v>3200000</v>
      </c>
      <c r="L21" s="124">
        <f>'[1]KAS BANTU'!O14</f>
        <v>87272.727272727265</v>
      </c>
      <c r="M21" s="124">
        <f>'[1]KAS BANTU'!O13</f>
        <v>43636.363636363632</v>
      </c>
    </row>
    <row r="22" spans="2:13">
      <c r="B22" s="113">
        <v>5</v>
      </c>
      <c r="C22" s="113" t="s">
        <v>283</v>
      </c>
      <c r="D22" s="113" t="s">
        <v>284</v>
      </c>
      <c r="E22" s="107" t="s">
        <v>291</v>
      </c>
      <c r="F22" s="113">
        <v>50</v>
      </c>
      <c r="G22" s="113" t="s">
        <v>292</v>
      </c>
      <c r="H22" s="107" t="s">
        <v>293</v>
      </c>
      <c r="I22" s="108">
        <v>20000</v>
      </c>
      <c r="J22" s="108">
        <f>F22*I22</f>
        <v>1000000</v>
      </c>
      <c r="K22" s="108">
        <f t="shared" ref="K22:K27" si="2">J22</f>
        <v>1000000</v>
      </c>
      <c r="L22" s="108">
        <v>0</v>
      </c>
      <c r="M22" s="108">
        <v>0</v>
      </c>
    </row>
    <row r="23" spans="2:13">
      <c r="B23" s="113">
        <v>7</v>
      </c>
      <c r="C23" s="113" t="s">
        <v>294</v>
      </c>
      <c r="D23" s="113" t="s">
        <v>295</v>
      </c>
      <c r="E23" s="107" t="s">
        <v>276</v>
      </c>
      <c r="F23" s="113">
        <v>2</v>
      </c>
      <c r="G23" s="113" t="s">
        <v>286</v>
      </c>
      <c r="H23" s="107" t="s">
        <v>296</v>
      </c>
      <c r="I23" s="108">
        <v>650000</v>
      </c>
      <c r="J23" s="108">
        <f>SUM(F23*I23)</f>
        <v>1300000</v>
      </c>
      <c r="K23" s="121">
        <f t="shared" si="2"/>
        <v>1300000</v>
      </c>
      <c r="L23" s="108"/>
      <c r="M23" s="108"/>
    </row>
    <row r="24" spans="2:13">
      <c r="B24" s="113"/>
      <c r="C24" s="113"/>
      <c r="D24" s="113"/>
      <c r="E24" s="107"/>
      <c r="F24" s="113">
        <v>5</v>
      </c>
      <c r="G24" s="113" t="s">
        <v>297</v>
      </c>
      <c r="H24" s="128" t="s">
        <v>298</v>
      </c>
      <c r="I24" s="108">
        <v>45000</v>
      </c>
      <c r="J24" s="108">
        <f>SUM(F24*I24)</f>
        <v>225000</v>
      </c>
      <c r="K24" s="121">
        <f t="shared" si="2"/>
        <v>225000</v>
      </c>
      <c r="L24" s="108"/>
      <c r="M24" s="108"/>
    </row>
    <row r="25" spans="2:13">
      <c r="B25" s="113"/>
      <c r="C25" s="113"/>
      <c r="D25" s="113"/>
      <c r="E25" s="107"/>
      <c r="F25" s="113">
        <v>6</v>
      </c>
      <c r="G25" s="113" t="s">
        <v>251</v>
      </c>
      <c r="H25" s="107" t="s">
        <v>299</v>
      </c>
      <c r="I25" s="108">
        <v>22500</v>
      </c>
      <c r="J25" s="108">
        <f>F25*I25</f>
        <v>135000</v>
      </c>
      <c r="K25" s="121">
        <f t="shared" si="2"/>
        <v>135000</v>
      </c>
      <c r="L25" s="108"/>
      <c r="M25" s="108"/>
    </row>
    <row r="26" spans="2:13">
      <c r="B26" s="113"/>
      <c r="C26" s="113"/>
      <c r="D26" s="113"/>
      <c r="E26" s="107"/>
      <c r="F26" s="113">
        <v>1</v>
      </c>
      <c r="G26" s="113" t="s">
        <v>102</v>
      </c>
      <c r="H26" s="107" t="s">
        <v>300</v>
      </c>
      <c r="I26" s="108">
        <v>150000</v>
      </c>
      <c r="J26" s="108">
        <f>F26*I26</f>
        <v>150000</v>
      </c>
      <c r="K26" s="121">
        <f t="shared" si="2"/>
        <v>150000</v>
      </c>
      <c r="L26" s="108"/>
      <c r="M26" s="108"/>
    </row>
    <row r="27" spans="2:13">
      <c r="B27" s="113"/>
      <c r="C27" s="113"/>
      <c r="D27" s="113"/>
      <c r="E27" s="107"/>
      <c r="F27" s="113">
        <v>5</v>
      </c>
      <c r="G27" s="113" t="s">
        <v>249</v>
      </c>
      <c r="H27" s="107" t="s">
        <v>301</v>
      </c>
      <c r="I27" s="108">
        <v>5000</v>
      </c>
      <c r="J27" s="108">
        <f>F27*I27</f>
        <v>25000</v>
      </c>
      <c r="K27" s="121">
        <f t="shared" si="2"/>
        <v>25000</v>
      </c>
      <c r="L27" s="108"/>
      <c r="M27" s="108"/>
    </row>
    <row r="28" spans="2:13">
      <c r="B28" s="122"/>
      <c r="C28" s="122"/>
      <c r="D28" s="122"/>
      <c r="E28" s="123" t="s">
        <v>221</v>
      </c>
      <c r="F28" s="122"/>
      <c r="G28" s="122"/>
      <c r="H28" s="123"/>
      <c r="I28" s="124"/>
      <c r="J28" s="124"/>
      <c r="K28" s="125">
        <f>SUM(J23:J27)</f>
        <v>1835000</v>
      </c>
      <c r="L28" s="124">
        <v>0</v>
      </c>
      <c r="M28" s="124">
        <v>0</v>
      </c>
    </row>
    <row r="29" spans="2:13">
      <c r="B29" s="113">
        <v>8</v>
      </c>
      <c r="C29" s="113" t="s">
        <v>302</v>
      </c>
      <c r="D29" s="113" t="s">
        <v>303</v>
      </c>
      <c r="E29" s="107" t="s">
        <v>304</v>
      </c>
      <c r="F29" s="113">
        <v>50</v>
      </c>
      <c r="G29" s="113" t="s">
        <v>102</v>
      </c>
      <c r="H29" s="107" t="s">
        <v>305</v>
      </c>
      <c r="I29" s="108">
        <v>60000</v>
      </c>
      <c r="J29" s="108">
        <f>SUM(F29*I29)</f>
        <v>3000000</v>
      </c>
      <c r="K29" s="108">
        <f>J29</f>
        <v>3000000</v>
      </c>
      <c r="L29" s="108">
        <f>'[1]KAS BANTU'!O18</f>
        <v>81818.181818181809</v>
      </c>
      <c r="M29" s="108">
        <f>'[1]KAS BANTU'!O17</f>
        <v>40909.090909090904</v>
      </c>
    </row>
    <row r="30" spans="2:13">
      <c r="B30" s="113">
        <v>9</v>
      </c>
      <c r="C30" s="113" t="s">
        <v>306</v>
      </c>
      <c r="D30" s="113" t="s">
        <v>307</v>
      </c>
      <c r="E30" s="107" t="s">
        <v>276</v>
      </c>
      <c r="F30" s="113">
        <v>1</v>
      </c>
      <c r="G30" s="113" t="s">
        <v>308</v>
      </c>
      <c r="H30" s="107" t="s">
        <v>296</v>
      </c>
      <c r="I30" s="108">
        <v>650000</v>
      </c>
      <c r="J30" s="108">
        <f>F30*I30</f>
        <v>650000</v>
      </c>
      <c r="K30" s="126">
        <f>J30</f>
        <v>650000</v>
      </c>
      <c r="L30" s="108"/>
      <c r="M30" s="108"/>
    </row>
    <row r="31" spans="2:13">
      <c r="B31" s="113"/>
      <c r="C31" s="113"/>
      <c r="D31" s="113"/>
      <c r="E31" s="107"/>
      <c r="F31" s="113">
        <v>20</v>
      </c>
      <c r="G31" s="113" t="s">
        <v>288</v>
      </c>
      <c r="H31" s="107" t="s">
        <v>289</v>
      </c>
      <c r="I31" s="108">
        <v>80000</v>
      </c>
      <c r="J31" s="108">
        <f>F31*I31</f>
        <v>1600000</v>
      </c>
      <c r="K31" s="126">
        <f>J31</f>
        <v>1600000</v>
      </c>
      <c r="L31" s="108"/>
      <c r="M31" s="108"/>
    </row>
    <row r="32" spans="2:13">
      <c r="B32" s="113"/>
      <c r="C32" s="113"/>
      <c r="D32" s="113"/>
      <c r="E32" s="107"/>
      <c r="F32" s="113">
        <v>3000</v>
      </c>
      <c r="G32" s="113" t="s">
        <v>102</v>
      </c>
      <c r="H32" s="129" t="s">
        <v>290</v>
      </c>
      <c r="I32" s="108">
        <v>800</v>
      </c>
      <c r="J32" s="108">
        <f>F32*I32</f>
        <v>2400000</v>
      </c>
      <c r="K32" s="126">
        <f>J32</f>
        <v>2400000</v>
      </c>
      <c r="L32" s="108"/>
      <c r="M32" s="108"/>
    </row>
    <row r="33" spans="2:13">
      <c r="B33" s="122"/>
      <c r="C33" s="122"/>
      <c r="D33" s="122"/>
      <c r="E33" s="123" t="s">
        <v>221</v>
      </c>
      <c r="F33" s="122"/>
      <c r="G33" s="122"/>
      <c r="H33" s="123"/>
      <c r="I33" s="124"/>
      <c r="J33" s="124"/>
      <c r="K33" s="127">
        <f>SUM(J30:J32)</f>
        <v>4650000</v>
      </c>
      <c r="L33" s="124">
        <f>'[1]KAS BANTU'!O23</f>
        <v>126818.18181818182</v>
      </c>
      <c r="M33" s="124">
        <f>'[1]KAS BANTU'!O22</f>
        <v>63409.090909090912</v>
      </c>
    </row>
    <row r="34" spans="2:13">
      <c r="B34" s="113">
        <v>10</v>
      </c>
      <c r="C34" s="113" t="s">
        <v>309</v>
      </c>
      <c r="D34" s="113" t="s">
        <v>310</v>
      </c>
      <c r="E34" s="129" t="s">
        <v>285</v>
      </c>
      <c r="F34" s="113">
        <v>10</v>
      </c>
      <c r="G34" s="113" t="s">
        <v>311</v>
      </c>
      <c r="H34" s="129" t="s">
        <v>312</v>
      </c>
      <c r="I34" s="108">
        <v>32500</v>
      </c>
      <c r="J34" s="108">
        <f>F34*I34</f>
        <v>325000</v>
      </c>
      <c r="K34" s="108">
        <f>J34</f>
        <v>325000</v>
      </c>
      <c r="L34" s="108">
        <v>0</v>
      </c>
      <c r="M34" s="108">
        <v>0</v>
      </c>
    </row>
    <row r="35" spans="2:13">
      <c r="B35" s="113">
        <v>11</v>
      </c>
      <c r="C35" s="113" t="s">
        <v>313</v>
      </c>
      <c r="D35" s="113" t="s">
        <v>314</v>
      </c>
      <c r="E35" s="129" t="s">
        <v>276</v>
      </c>
      <c r="F35" s="113">
        <v>1</v>
      </c>
      <c r="G35" s="113" t="s">
        <v>308</v>
      </c>
      <c r="H35" s="129" t="s">
        <v>296</v>
      </c>
      <c r="I35" s="108">
        <v>650000</v>
      </c>
      <c r="J35" s="108">
        <f>F35*I35</f>
        <v>650000</v>
      </c>
      <c r="K35" s="121">
        <f>J35</f>
        <v>650000</v>
      </c>
      <c r="L35" s="108"/>
      <c r="M35" s="108"/>
    </row>
    <row r="36" spans="2:13">
      <c r="B36" s="113"/>
      <c r="C36" s="113"/>
      <c r="D36" s="113"/>
      <c r="E36" s="107"/>
      <c r="F36" s="113">
        <v>30</v>
      </c>
      <c r="G36" s="113" t="s">
        <v>288</v>
      </c>
      <c r="H36" s="129" t="s">
        <v>289</v>
      </c>
      <c r="I36" s="108">
        <v>80000</v>
      </c>
      <c r="J36" s="108">
        <f>F36*I36</f>
        <v>2400000</v>
      </c>
      <c r="K36" s="121">
        <f>J36</f>
        <v>2400000</v>
      </c>
      <c r="L36" s="108"/>
      <c r="M36" s="108"/>
    </row>
    <row r="37" spans="2:13">
      <c r="B37" s="122"/>
      <c r="C37" s="122"/>
      <c r="D37" s="122"/>
      <c r="E37" s="123" t="s">
        <v>221</v>
      </c>
      <c r="F37" s="122"/>
      <c r="G37" s="122"/>
      <c r="H37" s="123"/>
      <c r="I37" s="124"/>
      <c r="J37" s="124"/>
      <c r="K37" s="125">
        <f>SUM(J35:J36)</f>
        <v>3050000</v>
      </c>
      <c r="L37" s="124">
        <f>'[1]KAS BANTU'!O27</f>
        <v>83181.818181818191</v>
      </c>
      <c r="M37" s="124">
        <f>'[1]KAS BANTU'!O26</f>
        <v>41590.909090909096</v>
      </c>
    </row>
    <row r="38" spans="2:13">
      <c r="B38" s="113">
        <v>12</v>
      </c>
      <c r="C38" s="113" t="s">
        <v>315</v>
      </c>
      <c r="D38" s="113" t="s">
        <v>316</v>
      </c>
      <c r="E38" s="107" t="s">
        <v>276</v>
      </c>
      <c r="F38" s="113">
        <v>20</v>
      </c>
      <c r="G38" s="113" t="s">
        <v>288</v>
      </c>
      <c r="H38" s="107" t="s">
        <v>289</v>
      </c>
      <c r="I38" s="108">
        <v>80000</v>
      </c>
      <c r="J38" s="108">
        <f>F38*I38</f>
        <v>1600000</v>
      </c>
      <c r="K38" s="126">
        <f>J38</f>
        <v>1600000</v>
      </c>
      <c r="L38" s="108"/>
      <c r="M38" s="108"/>
    </row>
    <row r="39" spans="2:13">
      <c r="B39" s="113"/>
      <c r="C39" s="113"/>
      <c r="D39" s="113"/>
      <c r="E39" s="107"/>
      <c r="F39" s="113">
        <v>2</v>
      </c>
      <c r="G39" s="113" t="s">
        <v>308</v>
      </c>
      <c r="H39" s="107" t="s">
        <v>317</v>
      </c>
      <c r="I39" s="108">
        <v>850000</v>
      </c>
      <c r="J39" s="108">
        <f>F39*I39</f>
        <v>1700000</v>
      </c>
      <c r="K39" s="126">
        <f>J39</f>
        <v>1700000</v>
      </c>
      <c r="L39" s="108"/>
      <c r="M39" s="108"/>
    </row>
    <row r="40" spans="2:13">
      <c r="B40" s="113"/>
      <c r="C40" s="113"/>
      <c r="D40" s="113"/>
      <c r="E40" s="107"/>
      <c r="F40" s="113">
        <v>5</v>
      </c>
      <c r="G40" s="113" t="s">
        <v>297</v>
      </c>
      <c r="H40" s="107" t="s">
        <v>318</v>
      </c>
      <c r="I40" s="108">
        <v>40000</v>
      </c>
      <c r="J40" s="108">
        <f>F40*I40</f>
        <v>200000</v>
      </c>
      <c r="K40" s="126">
        <f>J40</f>
        <v>200000</v>
      </c>
      <c r="L40" s="108"/>
      <c r="M40" s="108"/>
    </row>
    <row r="41" spans="2:13">
      <c r="B41" s="122"/>
      <c r="C41" s="122"/>
      <c r="D41" s="122"/>
      <c r="E41" s="123" t="s">
        <v>221</v>
      </c>
      <c r="F41" s="122"/>
      <c r="G41" s="122"/>
      <c r="H41" s="123"/>
      <c r="I41" s="124"/>
      <c r="J41" s="124"/>
      <c r="K41" s="127">
        <f>SUM(J38:J40)</f>
        <v>3500000</v>
      </c>
      <c r="L41" s="124">
        <f>'[1]KAS BANTU'!O32</f>
        <v>95454.545454545441</v>
      </c>
      <c r="M41" s="124">
        <f>'[1]KAS BANTU'!O31</f>
        <v>47727.272727272721</v>
      </c>
    </row>
    <row r="42" spans="2:13">
      <c r="B42" s="113">
        <v>13</v>
      </c>
      <c r="C42" s="113" t="s">
        <v>319</v>
      </c>
      <c r="D42" s="113" t="s">
        <v>320</v>
      </c>
      <c r="E42" s="107" t="s">
        <v>276</v>
      </c>
      <c r="F42" s="113">
        <v>3</v>
      </c>
      <c r="G42" s="113" t="s">
        <v>321</v>
      </c>
      <c r="H42" s="107" t="s">
        <v>322</v>
      </c>
      <c r="I42" s="130">
        <v>75000</v>
      </c>
      <c r="J42" s="108">
        <f>F42*I42</f>
        <v>225000</v>
      </c>
      <c r="K42" s="121">
        <f>J42</f>
        <v>225000</v>
      </c>
      <c r="L42" s="108"/>
      <c r="M42" s="108"/>
    </row>
    <row r="43" spans="2:13">
      <c r="B43" s="113"/>
      <c r="C43" s="113"/>
      <c r="D43" s="113"/>
      <c r="E43" s="107"/>
      <c r="F43" s="113">
        <v>20</v>
      </c>
      <c r="G43" s="113" t="s">
        <v>288</v>
      </c>
      <c r="H43" s="107" t="s">
        <v>289</v>
      </c>
      <c r="I43" s="108">
        <v>80000</v>
      </c>
      <c r="J43" s="108">
        <f>F43*I43</f>
        <v>1600000</v>
      </c>
      <c r="K43" s="121">
        <f>J43</f>
        <v>1600000</v>
      </c>
      <c r="L43" s="108"/>
      <c r="M43" s="108"/>
    </row>
    <row r="44" spans="2:13">
      <c r="B44" s="113"/>
      <c r="C44" s="113"/>
      <c r="D44" s="113"/>
      <c r="E44" s="107"/>
      <c r="F44" s="113">
        <v>1</v>
      </c>
      <c r="G44" s="113" t="s">
        <v>286</v>
      </c>
      <c r="H44" s="107" t="s">
        <v>323</v>
      </c>
      <c r="I44" s="108">
        <v>1500000</v>
      </c>
      <c r="J44" s="108">
        <f>F44*I44</f>
        <v>1500000</v>
      </c>
      <c r="K44" s="121">
        <f>J44</f>
        <v>1500000</v>
      </c>
      <c r="L44" s="108"/>
      <c r="M44" s="108"/>
    </row>
    <row r="45" spans="2:13">
      <c r="B45" s="122"/>
      <c r="C45" s="122"/>
      <c r="D45" s="122"/>
      <c r="E45" s="123" t="s">
        <v>221</v>
      </c>
      <c r="F45" s="122"/>
      <c r="G45" s="122"/>
      <c r="H45" s="123"/>
      <c r="I45" s="124"/>
      <c r="J45" s="124"/>
      <c r="K45" s="125">
        <f>SUM(J42:J44)</f>
        <v>3325000</v>
      </c>
      <c r="L45" s="124">
        <f>'[1]KAS BANTU'!O35</f>
        <v>84545.454545454544</v>
      </c>
      <c r="M45" s="124">
        <f>'[1]KAS BANTU'!O34</f>
        <v>42272.727272727272</v>
      </c>
    </row>
    <row r="46" spans="2:13">
      <c r="B46" s="113">
        <v>14</v>
      </c>
      <c r="C46" s="113" t="s">
        <v>319</v>
      </c>
      <c r="D46" s="113" t="s">
        <v>320</v>
      </c>
      <c r="E46" s="107" t="s">
        <v>304</v>
      </c>
      <c r="F46" s="113">
        <v>50</v>
      </c>
      <c r="G46" s="113" t="s">
        <v>102</v>
      </c>
      <c r="H46" s="107" t="s">
        <v>305</v>
      </c>
      <c r="I46" s="108">
        <v>60000</v>
      </c>
      <c r="J46" s="108">
        <f t="shared" ref="J46:J53" si="3">F46*I46</f>
        <v>3000000</v>
      </c>
      <c r="K46" s="108">
        <f t="shared" ref="K46:K53" si="4">J46</f>
        <v>3000000</v>
      </c>
      <c r="L46" s="108">
        <f>'[1]KAS BANTU'!O37</f>
        <v>81818.181818181809</v>
      </c>
      <c r="M46" s="108">
        <f>'[1]KAS BANTU'!O36</f>
        <v>54545.454545454544</v>
      </c>
    </row>
    <row r="47" spans="2:13">
      <c r="B47" s="113">
        <v>15</v>
      </c>
      <c r="C47" s="113" t="s">
        <v>319</v>
      </c>
      <c r="D47" s="113" t="s">
        <v>320</v>
      </c>
      <c r="E47" s="107" t="s">
        <v>324</v>
      </c>
      <c r="F47" s="113">
        <v>2</v>
      </c>
      <c r="G47" s="113" t="s">
        <v>308</v>
      </c>
      <c r="H47" s="107" t="s">
        <v>296</v>
      </c>
      <c r="I47" s="108">
        <v>650000</v>
      </c>
      <c r="J47" s="108">
        <f t="shared" si="3"/>
        <v>1300000</v>
      </c>
      <c r="K47" s="108">
        <f t="shared" si="4"/>
        <v>1300000</v>
      </c>
      <c r="L47" s="108">
        <v>0</v>
      </c>
      <c r="M47" s="108">
        <v>0</v>
      </c>
    </row>
    <row r="48" spans="2:13" ht="30">
      <c r="B48" s="113">
        <v>16</v>
      </c>
      <c r="C48" s="113" t="s">
        <v>319</v>
      </c>
      <c r="D48" s="113" t="s">
        <v>320</v>
      </c>
      <c r="E48" s="131" t="s">
        <v>325</v>
      </c>
      <c r="F48" s="113">
        <v>4</v>
      </c>
      <c r="G48" s="113" t="s">
        <v>321</v>
      </c>
      <c r="H48" s="132" t="s">
        <v>326</v>
      </c>
      <c r="I48" s="133">
        <v>480000</v>
      </c>
      <c r="J48" s="133">
        <f t="shared" si="3"/>
        <v>1920000</v>
      </c>
      <c r="K48" s="133">
        <f t="shared" si="4"/>
        <v>1920000</v>
      </c>
      <c r="L48" s="133">
        <v>0</v>
      </c>
      <c r="M48" s="133">
        <v>0</v>
      </c>
    </row>
    <row r="49" spans="2:13">
      <c r="B49" s="113">
        <v>17</v>
      </c>
      <c r="C49" s="113" t="s">
        <v>319</v>
      </c>
      <c r="D49" s="113" t="s">
        <v>320</v>
      </c>
      <c r="E49" s="107" t="s">
        <v>285</v>
      </c>
      <c r="F49" s="113">
        <v>1</v>
      </c>
      <c r="G49" s="113" t="s">
        <v>327</v>
      </c>
      <c r="H49" s="107" t="s">
        <v>317</v>
      </c>
      <c r="I49" s="108">
        <v>850000</v>
      </c>
      <c r="J49" s="108">
        <f t="shared" si="3"/>
        <v>850000</v>
      </c>
      <c r="K49" s="108">
        <f t="shared" si="4"/>
        <v>850000</v>
      </c>
      <c r="L49" s="108">
        <v>0</v>
      </c>
      <c r="M49" s="108">
        <v>0</v>
      </c>
    </row>
    <row r="50" spans="2:13">
      <c r="B50" s="113">
        <v>18</v>
      </c>
      <c r="C50" s="113" t="s">
        <v>328</v>
      </c>
      <c r="D50" s="113" t="s">
        <v>329</v>
      </c>
      <c r="E50" s="107" t="s">
        <v>330</v>
      </c>
      <c r="F50" s="113">
        <v>47</v>
      </c>
      <c r="G50" s="113" t="s">
        <v>102</v>
      </c>
      <c r="H50" s="107" t="s">
        <v>305</v>
      </c>
      <c r="I50" s="108">
        <v>55000</v>
      </c>
      <c r="J50" s="108">
        <f t="shared" si="3"/>
        <v>2585000</v>
      </c>
      <c r="K50" s="108">
        <f t="shared" si="4"/>
        <v>2585000</v>
      </c>
      <c r="L50" s="108">
        <f>'[1]KAS BANTU'!O42</f>
        <v>0</v>
      </c>
      <c r="M50" s="108">
        <f>'[1]KAS BANTU'!O41</f>
        <v>35250</v>
      </c>
    </row>
    <row r="51" spans="2:13">
      <c r="B51" s="113">
        <v>19</v>
      </c>
      <c r="C51" s="113" t="s">
        <v>328</v>
      </c>
      <c r="D51" s="113" t="s">
        <v>329</v>
      </c>
      <c r="E51" s="107" t="s">
        <v>276</v>
      </c>
      <c r="F51" s="113">
        <v>20</v>
      </c>
      <c r="G51" s="113" t="s">
        <v>288</v>
      </c>
      <c r="H51" s="107" t="s">
        <v>289</v>
      </c>
      <c r="I51" s="108">
        <v>80000</v>
      </c>
      <c r="J51" s="108">
        <f t="shared" si="3"/>
        <v>1600000</v>
      </c>
      <c r="K51" s="108">
        <f t="shared" si="4"/>
        <v>1600000</v>
      </c>
      <c r="L51" s="108">
        <v>0</v>
      </c>
      <c r="M51" s="108">
        <v>0</v>
      </c>
    </row>
    <row r="52" spans="2:13">
      <c r="B52" s="113">
        <v>20</v>
      </c>
      <c r="C52" s="113" t="s">
        <v>331</v>
      </c>
      <c r="D52" s="113" t="s">
        <v>332</v>
      </c>
      <c r="E52" s="107" t="s">
        <v>276</v>
      </c>
      <c r="F52" s="113">
        <v>20</v>
      </c>
      <c r="G52" s="113" t="s">
        <v>288</v>
      </c>
      <c r="H52" s="107" t="s">
        <v>289</v>
      </c>
      <c r="I52" s="108">
        <v>80000</v>
      </c>
      <c r="J52" s="108">
        <f t="shared" si="3"/>
        <v>1600000</v>
      </c>
      <c r="K52" s="126">
        <f t="shared" si="4"/>
        <v>1600000</v>
      </c>
      <c r="L52" s="108"/>
      <c r="M52" s="108"/>
    </row>
    <row r="53" spans="2:13">
      <c r="B53" s="113"/>
      <c r="C53" s="113"/>
      <c r="D53" s="113"/>
      <c r="E53" s="107"/>
      <c r="F53" s="113">
        <v>2000</v>
      </c>
      <c r="G53" s="113" t="s">
        <v>102</v>
      </c>
      <c r="H53" s="107" t="s">
        <v>290</v>
      </c>
      <c r="I53" s="108">
        <v>800</v>
      </c>
      <c r="J53" s="108">
        <f t="shared" si="3"/>
        <v>1600000</v>
      </c>
      <c r="K53" s="126">
        <f t="shared" si="4"/>
        <v>1600000</v>
      </c>
      <c r="L53" s="108"/>
      <c r="M53" s="108"/>
    </row>
    <row r="54" spans="2:13">
      <c r="B54" s="122"/>
      <c r="C54" s="122"/>
      <c r="D54" s="122"/>
      <c r="E54" s="123" t="s">
        <v>221</v>
      </c>
      <c r="F54" s="122"/>
      <c r="G54" s="122"/>
      <c r="H54" s="123"/>
      <c r="I54" s="124"/>
      <c r="J54" s="124"/>
      <c r="K54" s="127">
        <f>SUM(K52:K53)</f>
        <v>3200000</v>
      </c>
      <c r="L54" s="124">
        <f>'[1]KAS BANTU'!O45</f>
        <v>87272.727272727265</v>
      </c>
      <c r="M54" s="124">
        <f>'[1]KAS BANTU'!O44</f>
        <v>43636.363636363632</v>
      </c>
    </row>
    <row r="55" spans="2:13">
      <c r="B55" s="113">
        <v>21</v>
      </c>
      <c r="C55" s="113" t="s">
        <v>333</v>
      </c>
      <c r="D55" s="113" t="s">
        <v>334</v>
      </c>
      <c r="E55" s="107" t="s">
        <v>285</v>
      </c>
      <c r="F55" s="113">
        <v>1</v>
      </c>
      <c r="G55" s="113" t="s">
        <v>327</v>
      </c>
      <c r="H55" s="107" t="s">
        <v>296</v>
      </c>
      <c r="I55" s="108">
        <v>650000</v>
      </c>
      <c r="J55" s="108">
        <f>F55*I55</f>
        <v>650000</v>
      </c>
      <c r="K55" s="108">
        <f>J55</f>
        <v>650000</v>
      </c>
      <c r="L55" s="108"/>
      <c r="M55" s="108"/>
    </row>
    <row r="56" spans="2:13">
      <c r="B56" s="113">
        <v>22</v>
      </c>
      <c r="C56" s="113" t="s">
        <v>333</v>
      </c>
      <c r="D56" s="113" t="s">
        <v>334</v>
      </c>
      <c r="E56" s="107" t="s">
        <v>276</v>
      </c>
      <c r="F56" s="113">
        <v>30</v>
      </c>
      <c r="G56" s="113" t="s">
        <v>288</v>
      </c>
      <c r="H56" s="107" t="s">
        <v>289</v>
      </c>
      <c r="I56" s="108">
        <v>80000</v>
      </c>
      <c r="J56" s="108">
        <f>F56*I56</f>
        <v>2400000</v>
      </c>
      <c r="K56" s="121">
        <f>J56</f>
        <v>2400000</v>
      </c>
      <c r="L56" s="108"/>
      <c r="M56" s="108"/>
    </row>
    <row r="57" spans="2:13">
      <c r="B57" s="113"/>
      <c r="C57" s="113"/>
      <c r="D57" s="113"/>
      <c r="E57" s="107"/>
      <c r="F57" s="113">
        <v>1</v>
      </c>
      <c r="G57" s="113" t="s">
        <v>308</v>
      </c>
      <c r="H57" s="107" t="s">
        <v>335</v>
      </c>
      <c r="I57" s="108">
        <v>650000</v>
      </c>
      <c r="J57" s="108">
        <f>F57*I57</f>
        <v>650000</v>
      </c>
      <c r="K57" s="121">
        <f>J57</f>
        <v>650000</v>
      </c>
      <c r="L57" s="108"/>
      <c r="M57" s="108"/>
    </row>
    <row r="58" spans="2:13">
      <c r="B58" s="122"/>
      <c r="C58" s="122"/>
      <c r="D58" s="122"/>
      <c r="E58" s="123" t="s">
        <v>221</v>
      </c>
      <c r="F58" s="122"/>
      <c r="G58" s="122"/>
      <c r="H58" s="123"/>
      <c r="I58" s="124"/>
      <c r="J58" s="124"/>
      <c r="K58" s="125">
        <f>SUM(K56:K57)</f>
        <v>3050000</v>
      </c>
      <c r="L58" s="124">
        <f>'[1]KAS BANTU'!O48</f>
        <v>83181.818181818191</v>
      </c>
      <c r="M58" s="124">
        <f>'[1]KAS BANTU'!O47</f>
        <v>41590.909090909096</v>
      </c>
    </row>
    <row r="59" spans="2:13">
      <c r="B59" s="113">
        <v>23</v>
      </c>
      <c r="C59" s="113" t="s">
        <v>336</v>
      </c>
      <c r="D59" s="113" t="s">
        <v>337</v>
      </c>
      <c r="E59" s="107" t="s">
        <v>276</v>
      </c>
      <c r="F59" s="113">
        <v>30</v>
      </c>
      <c r="G59" s="113" t="s">
        <v>288</v>
      </c>
      <c r="H59" s="107" t="s">
        <v>289</v>
      </c>
      <c r="I59" s="108">
        <v>80000</v>
      </c>
      <c r="J59" s="108">
        <f>F59*I59</f>
        <v>2400000</v>
      </c>
      <c r="K59" s="126">
        <f>J59</f>
        <v>2400000</v>
      </c>
      <c r="L59" s="108"/>
      <c r="M59" s="108"/>
    </row>
    <row r="60" spans="2:13">
      <c r="B60" s="113"/>
      <c r="C60" s="113"/>
      <c r="D60" s="113"/>
      <c r="E60" s="107"/>
      <c r="F60" s="113">
        <v>1</v>
      </c>
      <c r="G60" s="113" t="s">
        <v>308</v>
      </c>
      <c r="H60" s="107" t="s">
        <v>296</v>
      </c>
      <c r="I60" s="108">
        <v>650000</v>
      </c>
      <c r="J60" s="108">
        <f>F60*I60</f>
        <v>650000</v>
      </c>
      <c r="K60" s="126">
        <f>J60</f>
        <v>650000</v>
      </c>
      <c r="L60" s="108"/>
      <c r="M60" s="108"/>
    </row>
    <row r="61" spans="2:13">
      <c r="B61" s="122"/>
      <c r="C61" s="122"/>
      <c r="D61" s="122"/>
      <c r="E61" s="123" t="s">
        <v>221</v>
      </c>
      <c r="F61" s="122"/>
      <c r="G61" s="122"/>
      <c r="H61" s="123"/>
      <c r="I61" s="124"/>
      <c r="J61" s="124"/>
      <c r="K61" s="127">
        <f>SUM(K59:K60)</f>
        <v>3050000</v>
      </c>
      <c r="L61" s="124">
        <f>'[1]KAS BANTU'!O51</f>
        <v>83181.818181818191</v>
      </c>
      <c r="M61" s="124">
        <f>'[1]KAS BANTU'!O50</f>
        <v>41590.909090909096</v>
      </c>
    </row>
    <row r="62" spans="2:13">
      <c r="B62" s="113">
        <v>24</v>
      </c>
      <c r="C62" s="113" t="s">
        <v>338</v>
      </c>
      <c r="D62" s="113" t="s">
        <v>339</v>
      </c>
      <c r="E62" s="107" t="s">
        <v>276</v>
      </c>
      <c r="F62" s="113">
        <v>20</v>
      </c>
      <c r="G62" s="113" t="s">
        <v>340</v>
      </c>
      <c r="H62" s="107" t="s">
        <v>289</v>
      </c>
      <c r="I62" s="108">
        <v>80000</v>
      </c>
      <c r="J62" s="108">
        <f>F62*I62</f>
        <v>1600000</v>
      </c>
      <c r="K62" s="121">
        <f>J62</f>
        <v>1600000</v>
      </c>
      <c r="L62" s="108"/>
      <c r="M62" s="108"/>
    </row>
    <row r="63" spans="2:13">
      <c r="B63" s="113"/>
      <c r="C63" s="113"/>
      <c r="D63" s="113"/>
      <c r="E63" s="107"/>
      <c r="F63" s="113">
        <v>2000</v>
      </c>
      <c r="G63" s="113" t="s">
        <v>252</v>
      </c>
      <c r="H63" s="107" t="s">
        <v>290</v>
      </c>
      <c r="I63" s="108">
        <v>800</v>
      </c>
      <c r="J63" s="108">
        <f>F63*I63</f>
        <v>1600000</v>
      </c>
      <c r="K63" s="121">
        <f>J63</f>
        <v>1600000</v>
      </c>
      <c r="L63" s="108"/>
      <c r="M63" s="108"/>
    </row>
    <row r="64" spans="2:13">
      <c r="B64" s="122"/>
      <c r="C64" s="122"/>
      <c r="D64" s="122"/>
      <c r="E64" s="123" t="s">
        <v>221</v>
      </c>
      <c r="F64" s="122"/>
      <c r="G64" s="122"/>
      <c r="H64" s="123"/>
      <c r="I64" s="124"/>
      <c r="J64" s="124"/>
      <c r="K64" s="125">
        <f>SUM(K62:K63)</f>
        <v>3200000</v>
      </c>
      <c r="L64" s="124">
        <f>'[1]KAS BANTU'!O53</f>
        <v>87272.727272727265</v>
      </c>
      <c r="M64" s="124">
        <f>'[1]KAS BANTU'!O52</f>
        <v>43636.363636363632</v>
      </c>
    </row>
    <row r="65" spans="2:13">
      <c r="B65" s="113">
        <v>25</v>
      </c>
      <c r="C65" s="113" t="s">
        <v>341</v>
      </c>
      <c r="D65" s="113" t="s">
        <v>342</v>
      </c>
      <c r="E65" s="107" t="s">
        <v>285</v>
      </c>
      <c r="F65" s="113">
        <v>2</v>
      </c>
      <c r="G65" s="113" t="s">
        <v>308</v>
      </c>
      <c r="H65" s="107" t="s">
        <v>296</v>
      </c>
      <c r="I65" s="108">
        <v>650000</v>
      </c>
      <c r="J65" s="108">
        <f>F65*I65</f>
        <v>1300000</v>
      </c>
      <c r="K65" s="108">
        <f>J65</f>
        <v>1300000</v>
      </c>
      <c r="L65" s="108"/>
      <c r="M65" s="108"/>
    </row>
    <row r="66" spans="2:13">
      <c r="B66" s="113">
        <v>26</v>
      </c>
      <c r="C66" s="113" t="s">
        <v>343</v>
      </c>
      <c r="D66" s="113" t="s">
        <v>344</v>
      </c>
      <c r="E66" s="107" t="s">
        <v>276</v>
      </c>
      <c r="F66" s="113">
        <v>30</v>
      </c>
      <c r="G66" s="113" t="s">
        <v>242</v>
      </c>
      <c r="H66" s="107" t="s">
        <v>289</v>
      </c>
      <c r="I66" s="108">
        <v>80000</v>
      </c>
      <c r="J66" s="108">
        <f>F66*I66</f>
        <v>2400000</v>
      </c>
      <c r="K66" s="121">
        <f>J66</f>
        <v>2400000</v>
      </c>
      <c r="L66" s="108"/>
      <c r="M66" s="108"/>
    </row>
    <row r="67" spans="2:13">
      <c r="B67" s="113"/>
      <c r="C67" s="113"/>
      <c r="D67" s="113"/>
      <c r="E67" s="107"/>
      <c r="F67" s="113">
        <v>1</v>
      </c>
      <c r="G67" s="113" t="s">
        <v>308</v>
      </c>
      <c r="H67" s="107" t="s">
        <v>317</v>
      </c>
      <c r="I67" s="108">
        <v>850000</v>
      </c>
      <c r="J67" s="108">
        <f>F67*I67</f>
        <v>850000</v>
      </c>
      <c r="K67" s="121">
        <f>J67</f>
        <v>850000</v>
      </c>
      <c r="L67" s="108"/>
      <c r="M67" s="108"/>
    </row>
    <row r="68" spans="2:13">
      <c r="B68" s="113"/>
      <c r="C68" s="113"/>
      <c r="D68" s="113"/>
      <c r="E68" s="107"/>
      <c r="F68" s="113">
        <v>2000</v>
      </c>
      <c r="G68" s="113" t="s">
        <v>102</v>
      </c>
      <c r="H68" s="107" t="s">
        <v>290</v>
      </c>
      <c r="I68" s="108">
        <v>800</v>
      </c>
      <c r="J68" s="108">
        <f>F68*I68</f>
        <v>1600000</v>
      </c>
      <c r="K68" s="121">
        <f>J68</f>
        <v>1600000</v>
      </c>
      <c r="L68" s="108"/>
      <c r="M68" s="108"/>
    </row>
    <row r="69" spans="2:13">
      <c r="B69" s="122"/>
      <c r="C69" s="122"/>
      <c r="D69" s="122"/>
      <c r="E69" s="123" t="s">
        <v>221</v>
      </c>
      <c r="F69" s="122"/>
      <c r="G69" s="122"/>
      <c r="H69" s="123"/>
      <c r="I69" s="124"/>
      <c r="J69" s="124"/>
      <c r="K69" s="125">
        <f>SUM(K66:K68)</f>
        <v>4850000</v>
      </c>
      <c r="L69" s="124">
        <f>'[1]KAS BANTU'!O56</f>
        <v>132272.72727272726</v>
      </c>
      <c r="M69" s="124">
        <f>'[1]KAS BANTU'!O55</f>
        <v>88181.818181818191</v>
      </c>
    </row>
    <row r="70" spans="2:13">
      <c r="B70" s="113">
        <v>27</v>
      </c>
      <c r="C70" s="113" t="s">
        <v>345</v>
      </c>
      <c r="D70" s="113" t="s">
        <v>346</v>
      </c>
      <c r="E70" s="131" t="s">
        <v>276</v>
      </c>
      <c r="F70" s="113">
        <v>20</v>
      </c>
      <c r="G70" s="113" t="s">
        <v>288</v>
      </c>
      <c r="H70" s="132" t="s">
        <v>289</v>
      </c>
      <c r="I70" s="133">
        <v>80000</v>
      </c>
      <c r="J70" s="133">
        <f>F70*I70</f>
        <v>1600000</v>
      </c>
      <c r="K70" s="133">
        <f>J70</f>
        <v>1600000</v>
      </c>
      <c r="L70" s="133"/>
      <c r="M70" s="133"/>
    </row>
    <row r="71" spans="2:13" ht="30">
      <c r="B71" s="113">
        <v>28</v>
      </c>
      <c r="C71" s="113" t="s">
        <v>345</v>
      </c>
      <c r="D71" s="113" t="s">
        <v>346</v>
      </c>
      <c r="E71" s="131" t="s">
        <v>325</v>
      </c>
      <c r="F71" s="113">
        <v>2</v>
      </c>
      <c r="G71" s="113" t="s">
        <v>321</v>
      </c>
      <c r="H71" s="132" t="s">
        <v>326</v>
      </c>
      <c r="I71" s="133">
        <v>450000</v>
      </c>
      <c r="J71" s="133">
        <f>F71*I71</f>
        <v>900000</v>
      </c>
      <c r="K71" s="133">
        <f>J71</f>
        <v>900000</v>
      </c>
      <c r="L71" s="133"/>
      <c r="M71" s="133"/>
    </row>
    <row r="72" spans="2:13">
      <c r="B72" s="113">
        <v>29</v>
      </c>
      <c r="C72" s="113" t="s">
        <v>347</v>
      </c>
      <c r="D72" s="113" t="s">
        <v>348</v>
      </c>
      <c r="E72" s="107" t="s">
        <v>276</v>
      </c>
      <c r="F72" s="113">
        <v>30</v>
      </c>
      <c r="G72" s="113" t="s">
        <v>288</v>
      </c>
      <c r="H72" s="107" t="s">
        <v>289</v>
      </c>
      <c r="I72" s="108">
        <v>80000</v>
      </c>
      <c r="J72" s="108">
        <f>F72*I72</f>
        <v>2400000</v>
      </c>
      <c r="K72" s="121">
        <f>J72</f>
        <v>2400000</v>
      </c>
      <c r="L72" s="108"/>
      <c r="M72" s="108"/>
    </row>
    <row r="73" spans="2:13">
      <c r="B73" s="113"/>
      <c r="C73" s="113"/>
      <c r="D73" s="113"/>
      <c r="E73" s="107"/>
      <c r="F73" s="113">
        <v>2000</v>
      </c>
      <c r="G73" s="113" t="s">
        <v>102</v>
      </c>
      <c r="H73" s="107" t="s">
        <v>290</v>
      </c>
      <c r="I73" s="108">
        <v>800</v>
      </c>
      <c r="J73" s="108">
        <f>F73*I73</f>
        <v>1600000</v>
      </c>
      <c r="K73" s="121">
        <f>J73</f>
        <v>1600000</v>
      </c>
      <c r="L73" s="108"/>
      <c r="M73" s="108"/>
    </row>
    <row r="74" spans="2:13">
      <c r="B74" s="122"/>
      <c r="C74" s="122"/>
      <c r="D74" s="122"/>
      <c r="E74" s="123" t="s">
        <v>221</v>
      </c>
      <c r="F74" s="122"/>
      <c r="G74" s="122"/>
      <c r="H74" s="123"/>
      <c r="I74" s="124"/>
      <c r="J74" s="124"/>
      <c r="K74" s="125">
        <f>SUM(K72:K73)</f>
        <v>4000000</v>
      </c>
      <c r="L74" s="124">
        <f>'[1]KAS BANTU'!O60</f>
        <v>109090.90909090909</v>
      </c>
      <c r="M74" s="124">
        <f>'[1]KAS BANTU'!O59</f>
        <v>72727.272727272721</v>
      </c>
    </row>
    <row r="75" spans="2:13">
      <c r="B75" s="113"/>
      <c r="C75" s="113"/>
      <c r="D75" s="113"/>
      <c r="E75" s="995" t="s">
        <v>349</v>
      </c>
      <c r="F75" s="996"/>
      <c r="G75" s="996"/>
      <c r="H75" s="997"/>
      <c r="I75" s="108"/>
      <c r="J75" s="108"/>
      <c r="K75" s="124">
        <f>SUM(K10+K17+K18+K21+K22+K28+K29+K33+K34+K37+K41+K45+K46+K47+K48+K49+K50+K51+K54+K55+K58+K61+K64+K65+K69+K70+K71+K74)</f>
        <v>63648000</v>
      </c>
      <c r="L75" s="124">
        <f>SUM(L21+L29+L33+L37+L41+L45+L46+L50+L54+L58+L61+L64+L69+L74)</f>
        <v>1223181.8181818184</v>
      </c>
      <c r="M75" s="124">
        <f>SUM(M10:M74)</f>
        <v>700704.54545454553</v>
      </c>
    </row>
    <row r="76" spans="2:13">
      <c r="B76" s="107"/>
      <c r="C76" s="113"/>
      <c r="D76" s="113"/>
      <c r="E76" s="995" t="s">
        <v>350</v>
      </c>
      <c r="F76" s="996"/>
      <c r="G76" s="996"/>
      <c r="H76" s="997"/>
      <c r="I76" s="107"/>
      <c r="J76" s="107"/>
      <c r="K76" s="107"/>
      <c r="L76" s="998">
        <f>SUM(M10:M74)</f>
        <v>700704.54545454553</v>
      </c>
      <c r="M76" s="997"/>
    </row>
    <row r="77" spans="2:13">
      <c r="C77" s="110"/>
      <c r="D77" s="110"/>
    </row>
    <row r="78" spans="2:13">
      <c r="B78" s="110"/>
      <c r="C78" s="110"/>
      <c r="D78" s="110"/>
      <c r="F78" s="110"/>
      <c r="G78" s="110"/>
      <c r="I78" s="111"/>
      <c r="J78" s="1000" t="s">
        <v>351</v>
      </c>
      <c r="K78" s="1000"/>
      <c r="L78" s="1000"/>
    </row>
    <row r="79" spans="2:13">
      <c r="B79" s="110"/>
      <c r="C79" s="134" t="s">
        <v>352</v>
      </c>
      <c r="D79" s="110"/>
      <c r="E79" s="110" t="s">
        <v>181</v>
      </c>
      <c r="F79" s="110"/>
      <c r="H79" s="110" t="s">
        <v>353</v>
      </c>
      <c r="I79" s="135"/>
      <c r="J79" s="111"/>
      <c r="K79" s="110" t="s">
        <v>354</v>
      </c>
      <c r="L79" s="110"/>
      <c r="M79" s="110"/>
    </row>
    <row r="80" spans="2:13">
      <c r="B80" s="110"/>
      <c r="C80" s="110"/>
      <c r="D80" s="134"/>
      <c r="E80" s="136"/>
      <c r="F80" s="110"/>
      <c r="G80" s="134"/>
      <c r="H80" s="135"/>
      <c r="I80" s="136"/>
      <c r="J80" s="134"/>
    </row>
    <row r="81" spans="2:13">
      <c r="B81" s="110"/>
      <c r="C81" s="110"/>
      <c r="D81" s="134"/>
      <c r="E81" s="136"/>
      <c r="F81" s="110"/>
      <c r="G81" s="134"/>
      <c r="H81" s="135"/>
      <c r="I81" s="136"/>
      <c r="J81" s="134"/>
    </row>
    <row r="82" spans="2:13">
      <c r="B82" s="110"/>
      <c r="C82" s="110"/>
      <c r="D82" s="134"/>
      <c r="E82" s="136"/>
      <c r="F82" s="110"/>
      <c r="G82" s="134"/>
      <c r="H82" s="135"/>
      <c r="I82" s="136"/>
      <c r="J82" s="134"/>
    </row>
    <row r="83" spans="2:13">
      <c r="B83" s="110"/>
      <c r="C83" s="110"/>
      <c r="D83" s="134"/>
      <c r="E83" s="136"/>
      <c r="F83" s="110"/>
      <c r="G83" s="134"/>
      <c r="H83" s="135"/>
      <c r="I83" s="136"/>
      <c r="J83" s="134"/>
    </row>
    <row r="84" spans="2:13">
      <c r="B84" s="110"/>
      <c r="C84" s="137" t="s">
        <v>51</v>
      </c>
      <c r="D84" s="110"/>
      <c r="E84" s="137" t="s">
        <v>115</v>
      </c>
      <c r="F84" s="110"/>
      <c r="H84" s="137" t="s">
        <v>225</v>
      </c>
      <c r="I84" s="136"/>
      <c r="J84" s="137"/>
      <c r="K84" s="137" t="s">
        <v>615</v>
      </c>
      <c r="L84" s="137"/>
      <c r="M84" s="137"/>
    </row>
    <row r="93" spans="2:13">
      <c r="B93" s="999" t="s">
        <v>254</v>
      </c>
      <c r="C93" s="999"/>
      <c r="D93" s="999"/>
      <c r="E93" s="999"/>
      <c r="F93" s="999"/>
      <c r="G93" s="999"/>
      <c r="H93" s="999"/>
      <c r="I93" s="999"/>
      <c r="J93" s="999"/>
      <c r="K93" s="999"/>
      <c r="L93" s="999"/>
      <c r="M93" s="999"/>
    </row>
    <row r="94" spans="2:13">
      <c r="B94" s="999" t="s">
        <v>255</v>
      </c>
      <c r="C94" s="999"/>
      <c r="D94" s="999"/>
      <c r="E94" s="999"/>
      <c r="F94" s="999"/>
      <c r="G94" s="999"/>
      <c r="H94" s="999"/>
      <c r="I94" s="999"/>
      <c r="J94" s="999"/>
      <c r="K94" s="999"/>
      <c r="L94" s="999"/>
      <c r="M94" s="999"/>
    </row>
    <row r="95" spans="2:13">
      <c r="B95" s="999" t="s">
        <v>256</v>
      </c>
      <c r="C95" s="999"/>
      <c r="D95" s="999"/>
      <c r="E95" s="999"/>
      <c r="F95" s="999"/>
      <c r="G95" s="999"/>
      <c r="H95" s="999"/>
      <c r="I95" s="999"/>
      <c r="J95" s="999"/>
      <c r="K95" s="999"/>
      <c r="L95" s="999"/>
      <c r="M95" s="999"/>
    </row>
    <row r="96" spans="2:13">
      <c r="B96" s="999" t="s">
        <v>257</v>
      </c>
      <c r="C96" s="999"/>
      <c r="D96" s="999"/>
      <c r="E96" s="999"/>
      <c r="F96" s="999"/>
      <c r="G96" s="999"/>
      <c r="H96" s="999"/>
      <c r="I96" s="999"/>
      <c r="J96" s="999"/>
      <c r="K96" s="999"/>
      <c r="L96" s="999"/>
      <c r="M96" s="999"/>
    </row>
    <row r="97" spans="2:15">
      <c r="B97" s="420"/>
      <c r="C97" s="420"/>
      <c r="D97" s="420"/>
      <c r="F97" s="420"/>
      <c r="G97" s="420"/>
      <c r="I97" s="111"/>
      <c r="J97" s="111"/>
      <c r="K97" s="111"/>
      <c r="L97" s="111"/>
      <c r="M97" s="111"/>
    </row>
    <row r="98" spans="2:15">
      <c r="B98" s="112" t="s">
        <v>258</v>
      </c>
      <c r="C98" s="112" t="s">
        <v>259</v>
      </c>
      <c r="D98" s="112"/>
      <c r="F98" s="420"/>
      <c r="G98" s="420"/>
      <c r="I98" s="111"/>
      <c r="J98" s="111"/>
      <c r="K98" s="111"/>
      <c r="L98" s="111"/>
      <c r="M98" s="111"/>
    </row>
    <row r="99" spans="2:15">
      <c r="B99" s="420"/>
      <c r="C99" s="420"/>
      <c r="D99" s="420"/>
      <c r="F99" s="420"/>
      <c r="G99" s="420"/>
      <c r="I99" s="111"/>
      <c r="J99" s="111"/>
      <c r="K99" s="111"/>
      <c r="L99" s="111"/>
      <c r="M99" s="111"/>
    </row>
    <row r="100" spans="2:15" ht="91.5">
      <c r="B100" s="113" t="s">
        <v>260</v>
      </c>
      <c r="C100" s="114" t="s">
        <v>261</v>
      </c>
      <c r="D100" s="114" t="s">
        <v>262</v>
      </c>
      <c r="E100" s="113" t="s">
        <v>263</v>
      </c>
      <c r="F100" s="115" t="s">
        <v>57</v>
      </c>
      <c r="G100" s="116" t="s">
        <v>219</v>
      </c>
      <c r="H100" s="113" t="s">
        <v>264</v>
      </c>
      <c r="I100" s="117" t="s">
        <v>265</v>
      </c>
      <c r="J100" s="117" t="s">
        <v>266</v>
      </c>
      <c r="K100" s="117" t="s">
        <v>267</v>
      </c>
      <c r="L100" s="118" t="s">
        <v>268</v>
      </c>
      <c r="M100" s="118" t="s">
        <v>269</v>
      </c>
    </row>
    <row r="101" spans="2:15" s="427" customFormat="1" ht="9.75" customHeight="1">
      <c r="B101" s="200">
        <v>1</v>
      </c>
      <c r="C101" s="200">
        <v>2</v>
      </c>
      <c r="D101" s="200">
        <v>3</v>
      </c>
      <c r="E101" s="200">
        <v>4</v>
      </c>
      <c r="F101" s="200">
        <v>5</v>
      </c>
      <c r="G101" s="200">
        <v>6</v>
      </c>
      <c r="H101" s="200">
        <v>7</v>
      </c>
      <c r="I101" s="426">
        <v>8</v>
      </c>
      <c r="J101" s="426">
        <v>9</v>
      </c>
      <c r="K101" s="426">
        <v>10</v>
      </c>
      <c r="L101" s="426">
        <v>11</v>
      </c>
      <c r="M101" s="426">
        <v>12</v>
      </c>
    </row>
    <row r="102" spans="2:15">
      <c r="B102" s="113">
        <v>2</v>
      </c>
      <c r="C102" s="113" t="s">
        <v>274</v>
      </c>
      <c r="D102" s="113" t="s">
        <v>275</v>
      </c>
      <c r="E102" s="107" t="s">
        <v>276</v>
      </c>
      <c r="F102" s="113">
        <v>8</v>
      </c>
      <c r="G102" s="113" t="s">
        <v>102</v>
      </c>
      <c r="H102" s="107" t="s">
        <v>596</v>
      </c>
      <c r="I102" s="108">
        <v>200000</v>
      </c>
      <c r="J102" s="108">
        <f t="shared" ref="J102:J107" si="5">F102*I102</f>
        <v>1600000</v>
      </c>
      <c r="K102" s="130">
        <f t="shared" ref="K102:K107" si="6">J102</f>
        <v>1600000</v>
      </c>
      <c r="L102" s="108"/>
      <c r="M102" s="108"/>
    </row>
    <row r="103" spans="2:15">
      <c r="B103" s="113"/>
      <c r="C103" s="113"/>
      <c r="D103" s="113"/>
      <c r="E103" s="107"/>
      <c r="F103" s="113">
        <v>10</v>
      </c>
      <c r="G103" s="113" t="s">
        <v>102</v>
      </c>
      <c r="H103" s="107" t="s">
        <v>597</v>
      </c>
      <c r="I103" s="108">
        <v>200000</v>
      </c>
      <c r="J103" s="108">
        <f t="shared" si="5"/>
        <v>2000000</v>
      </c>
      <c r="K103" s="130">
        <f t="shared" si="6"/>
        <v>2000000</v>
      </c>
      <c r="L103" s="108"/>
      <c r="M103" s="108"/>
    </row>
    <row r="104" spans="2:15">
      <c r="B104" s="113"/>
      <c r="C104" s="113"/>
      <c r="D104" s="113"/>
      <c r="E104" s="107"/>
      <c r="F104" s="113">
        <v>2</v>
      </c>
      <c r="G104" s="113" t="s">
        <v>249</v>
      </c>
      <c r="H104" s="107" t="s">
        <v>598</v>
      </c>
      <c r="I104" s="108">
        <v>7500</v>
      </c>
      <c r="J104" s="108">
        <f t="shared" si="5"/>
        <v>15000</v>
      </c>
      <c r="K104" s="130">
        <f t="shared" si="6"/>
        <v>15000</v>
      </c>
      <c r="L104" s="108"/>
      <c r="M104" s="108"/>
    </row>
    <row r="105" spans="2:15">
      <c r="B105" s="113"/>
      <c r="C105" s="113"/>
      <c r="D105" s="113"/>
      <c r="E105" s="107"/>
      <c r="F105" s="113">
        <v>2</v>
      </c>
      <c r="G105" s="113" t="s">
        <v>249</v>
      </c>
      <c r="H105" s="107" t="s">
        <v>599</v>
      </c>
      <c r="I105" s="108">
        <v>7500</v>
      </c>
      <c r="J105" s="108">
        <f t="shared" si="5"/>
        <v>15000</v>
      </c>
      <c r="K105" s="130">
        <f t="shared" si="6"/>
        <v>15000</v>
      </c>
      <c r="L105" s="108"/>
      <c r="M105" s="108"/>
    </row>
    <row r="106" spans="2:15">
      <c r="B106" s="113"/>
      <c r="C106" s="113"/>
      <c r="D106" s="113"/>
      <c r="E106" s="107"/>
      <c r="F106" s="113">
        <v>2</v>
      </c>
      <c r="G106" s="113" t="s">
        <v>102</v>
      </c>
      <c r="H106" s="107" t="s">
        <v>600</v>
      </c>
      <c r="I106" s="108">
        <v>8000</v>
      </c>
      <c r="J106" s="108">
        <f t="shared" si="5"/>
        <v>16000</v>
      </c>
      <c r="K106" s="130">
        <f t="shared" si="6"/>
        <v>16000</v>
      </c>
      <c r="L106" s="108"/>
      <c r="M106" s="108"/>
      <c r="N106">
        <v>4500</v>
      </c>
      <c r="O106" s="111">
        <f>SUM(I106-N106)</f>
        <v>3500</v>
      </c>
    </row>
    <row r="107" spans="2:15">
      <c r="B107" s="113"/>
      <c r="C107" s="113"/>
      <c r="D107" s="113"/>
      <c r="E107" s="107"/>
      <c r="F107" s="113">
        <v>2</v>
      </c>
      <c r="G107" s="113" t="s">
        <v>102</v>
      </c>
      <c r="H107" s="107" t="s">
        <v>601</v>
      </c>
      <c r="I107" s="108">
        <v>110000</v>
      </c>
      <c r="J107" s="108">
        <f t="shared" si="5"/>
        <v>220000</v>
      </c>
      <c r="K107" s="130">
        <f t="shared" si="6"/>
        <v>220000</v>
      </c>
      <c r="L107" s="108"/>
      <c r="M107" s="108"/>
    </row>
    <row r="108" spans="2:15">
      <c r="B108" s="122"/>
      <c r="C108" s="122"/>
      <c r="D108" s="122"/>
      <c r="E108" s="123" t="s">
        <v>221</v>
      </c>
      <c r="F108" s="122"/>
      <c r="G108" s="122"/>
      <c r="H108" s="123"/>
      <c r="I108" s="124"/>
      <c r="J108" s="124"/>
      <c r="K108" s="423">
        <f>SUM(K102:K107)</f>
        <v>3866000</v>
      </c>
      <c r="L108" s="124">
        <v>0</v>
      </c>
      <c r="M108" s="124">
        <v>0</v>
      </c>
      <c r="N108" s="111">
        <v>3866000</v>
      </c>
      <c r="O108" s="111">
        <f>SUM(K108-N108)</f>
        <v>0</v>
      </c>
    </row>
    <row r="109" spans="2:15">
      <c r="B109" s="122"/>
      <c r="C109" s="122"/>
      <c r="D109" s="122"/>
      <c r="E109" s="123"/>
      <c r="F109" s="276">
        <v>1</v>
      </c>
      <c r="G109" s="276" t="s">
        <v>286</v>
      </c>
      <c r="H109" s="424" t="s">
        <v>603</v>
      </c>
      <c r="I109" s="425">
        <v>450000</v>
      </c>
      <c r="J109" s="108">
        <f t="shared" ref="J109:J114" si="7">F109*I109</f>
        <v>450000</v>
      </c>
      <c r="K109" s="108">
        <f t="shared" ref="K109:K114" si="8">J109</f>
        <v>450000</v>
      </c>
      <c r="L109" s="124"/>
      <c r="M109" s="124"/>
      <c r="N109" s="111"/>
      <c r="O109" s="111"/>
    </row>
    <row r="110" spans="2:15">
      <c r="B110" s="113">
        <v>3</v>
      </c>
      <c r="C110" s="113" t="s">
        <v>283</v>
      </c>
      <c r="D110" s="113" t="s">
        <v>284</v>
      </c>
      <c r="E110" s="107" t="s">
        <v>276</v>
      </c>
      <c r="F110" s="113">
        <v>1</v>
      </c>
      <c r="G110" s="113" t="s">
        <v>286</v>
      </c>
      <c r="H110" s="107" t="s">
        <v>317</v>
      </c>
      <c r="I110" s="108">
        <v>900000</v>
      </c>
      <c r="J110" s="108">
        <f t="shared" si="7"/>
        <v>900000</v>
      </c>
      <c r="K110" s="108">
        <f t="shared" si="8"/>
        <v>900000</v>
      </c>
      <c r="L110" s="108">
        <v>0</v>
      </c>
      <c r="M110" s="108">
        <v>0</v>
      </c>
      <c r="O110" s="111"/>
    </row>
    <row r="111" spans="2:15">
      <c r="B111" s="113">
        <v>4</v>
      </c>
      <c r="C111" s="113" t="s">
        <v>283</v>
      </c>
      <c r="D111" s="113" t="s">
        <v>284</v>
      </c>
      <c r="F111" s="113">
        <v>20</v>
      </c>
      <c r="G111" s="113" t="s">
        <v>288</v>
      </c>
      <c r="H111" s="107" t="s">
        <v>289</v>
      </c>
      <c r="I111" s="108">
        <v>80000</v>
      </c>
      <c r="J111" s="108">
        <f t="shared" si="7"/>
        <v>1600000</v>
      </c>
      <c r="K111" s="130">
        <f t="shared" si="8"/>
        <v>1600000</v>
      </c>
      <c r="L111" s="108"/>
      <c r="M111" s="108"/>
    </row>
    <row r="112" spans="2:15">
      <c r="B112" s="113"/>
      <c r="C112" s="113"/>
      <c r="D112" s="113"/>
      <c r="E112" s="107"/>
      <c r="F112" s="113">
        <v>1</v>
      </c>
      <c r="G112" s="113" t="s">
        <v>286</v>
      </c>
      <c r="H112" s="107" t="s">
        <v>602</v>
      </c>
      <c r="I112" s="108">
        <v>1500000</v>
      </c>
      <c r="J112" s="108">
        <f t="shared" si="7"/>
        <v>1500000</v>
      </c>
      <c r="K112" s="130">
        <f t="shared" si="8"/>
        <v>1500000</v>
      </c>
      <c r="L112" s="108"/>
      <c r="M112" s="108"/>
    </row>
    <row r="113" spans="2:13">
      <c r="B113" s="113"/>
      <c r="C113" s="113"/>
      <c r="D113" s="113"/>
      <c r="E113" s="107"/>
      <c r="F113" s="113">
        <v>900</v>
      </c>
      <c r="G113" s="113" t="s">
        <v>102</v>
      </c>
      <c r="H113" s="107" t="s">
        <v>290</v>
      </c>
      <c r="I113" s="108">
        <v>800</v>
      </c>
      <c r="J113" s="108">
        <f t="shared" si="7"/>
        <v>720000</v>
      </c>
      <c r="K113" s="130">
        <f t="shared" si="8"/>
        <v>720000</v>
      </c>
      <c r="L113" s="108"/>
      <c r="M113" s="108"/>
    </row>
    <row r="114" spans="2:13">
      <c r="B114" s="113"/>
      <c r="C114" s="113"/>
      <c r="D114" s="113"/>
      <c r="E114" s="107"/>
      <c r="F114" s="113">
        <v>1</v>
      </c>
      <c r="G114" s="113" t="s">
        <v>102</v>
      </c>
      <c r="H114" s="107" t="s">
        <v>604</v>
      </c>
      <c r="I114" s="108">
        <v>1200</v>
      </c>
      <c r="J114" s="108">
        <f t="shared" si="7"/>
        <v>1200</v>
      </c>
      <c r="K114" s="130">
        <f t="shared" si="8"/>
        <v>1200</v>
      </c>
      <c r="L114" s="108"/>
      <c r="M114" s="108"/>
    </row>
    <row r="115" spans="2:13">
      <c r="B115" s="113"/>
      <c r="C115" s="113"/>
      <c r="D115" s="113"/>
      <c r="E115" s="107"/>
      <c r="F115" s="113"/>
      <c r="G115" s="113"/>
      <c r="H115" s="107"/>
      <c r="I115" s="108"/>
      <c r="J115" s="108"/>
      <c r="K115" s="130"/>
      <c r="L115" s="108"/>
      <c r="M115" s="108"/>
    </row>
    <row r="116" spans="2:13">
      <c r="B116" s="122"/>
      <c r="C116" s="122"/>
      <c r="D116" s="122"/>
      <c r="E116" s="123" t="s">
        <v>221</v>
      </c>
      <c r="F116" s="122"/>
      <c r="G116" s="122"/>
      <c r="H116" s="123"/>
      <c r="I116" s="124"/>
      <c r="J116" s="124"/>
      <c r="K116" s="423">
        <f>SUM(K109:K115)</f>
        <v>5171200</v>
      </c>
      <c r="L116" s="124">
        <f>'[1]KAS BANTU'!O106</f>
        <v>0</v>
      </c>
      <c r="M116" s="124">
        <f>'[1]KAS BANTU'!O105</f>
        <v>0</v>
      </c>
    </row>
    <row r="117" spans="2:13">
      <c r="B117" s="113"/>
      <c r="C117" s="113"/>
      <c r="D117" s="113"/>
      <c r="E117" s="107"/>
      <c r="F117" s="113"/>
      <c r="G117" s="113"/>
      <c r="H117" s="107"/>
      <c r="I117" s="108"/>
      <c r="J117" s="108"/>
      <c r="K117" s="108"/>
      <c r="L117" s="108">
        <v>0</v>
      </c>
      <c r="M117" s="108">
        <v>0</v>
      </c>
    </row>
    <row r="118" spans="2:13">
      <c r="B118" s="113"/>
      <c r="C118" s="113"/>
      <c r="D118" s="113"/>
      <c r="E118" s="107"/>
      <c r="F118" s="113"/>
      <c r="G118" s="113"/>
      <c r="H118" s="107"/>
      <c r="I118" s="108"/>
      <c r="J118" s="108"/>
      <c r="K118" s="130"/>
      <c r="L118" s="108"/>
      <c r="M118" s="108"/>
    </row>
    <row r="119" spans="2:13">
      <c r="B119" s="113"/>
      <c r="C119" s="113"/>
      <c r="D119" s="113"/>
      <c r="E119" s="107"/>
      <c r="F119" s="113"/>
      <c r="G119" s="113"/>
      <c r="H119" s="128"/>
      <c r="I119" s="108"/>
      <c r="J119" s="108"/>
      <c r="K119" s="130"/>
      <c r="L119" s="108"/>
      <c r="M119" s="108"/>
    </row>
    <row r="120" spans="2:13">
      <c r="B120" s="113"/>
      <c r="C120" s="113"/>
      <c r="D120" s="113"/>
      <c r="E120" s="107"/>
      <c r="F120" s="113"/>
      <c r="G120" s="113"/>
      <c r="H120" s="107"/>
      <c r="I120" s="108"/>
      <c r="J120" s="108"/>
      <c r="K120" s="130"/>
      <c r="L120" s="108"/>
      <c r="M120" s="108"/>
    </row>
    <row r="121" spans="2:13">
      <c r="B121" s="113"/>
      <c r="C121" s="113"/>
      <c r="D121" s="113"/>
      <c r="E121" s="107"/>
      <c r="F121" s="113"/>
      <c r="G121" s="113"/>
      <c r="H121" s="107"/>
      <c r="I121" s="108"/>
      <c r="J121" s="108"/>
      <c r="K121" s="130"/>
      <c r="L121" s="108"/>
      <c r="M121" s="108"/>
    </row>
    <row r="122" spans="2:13">
      <c r="B122" s="113"/>
      <c r="C122" s="113"/>
      <c r="D122" s="113"/>
      <c r="E122" s="107"/>
      <c r="F122" s="113"/>
      <c r="G122" s="113"/>
      <c r="H122" s="107"/>
      <c r="I122" s="108"/>
      <c r="J122" s="108"/>
      <c r="K122" s="130"/>
      <c r="L122" s="108"/>
      <c r="M122" s="108"/>
    </row>
    <row r="123" spans="2:13">
      <c r="B123" s="122"/>
      <c r="C123" s="122"/>
      <c r="D123" s="122"/>
      <c r="E123" s="123"/>
      <c r="F123" s="122"/>
      <c r="G123" s="122"/>
      <c r="H123" s="123"/>
      <c r="I123" s="124"/>
      <c r="J123" s="124"/>
      <c r="K123" s="423"/>
      <c r="L123" s="124">
        <v>0</v>
      </c>
      <c r="M123" s="124">
        <v>0</v>
      </c>
    </row>
  </sheetData>
  <mergeCells count="12">
    <mergeCell ref="B93:M93"/>
    <mergeCell ref="B94:M94"/>
    <mergeCell ref="B95:M95"/>
    <mergeCell ref="B96:M96"/>
    <mergeCell ref="J78:L78"/>
    <mergeCell ref="E76:H76"/>
    <mergeCell ref="L76:M76"/>
    <mergeCell ref="B1:M1"/>
    <mergeCell ref="B2:M2"/>
    <mergeCell ref="B3:M3"/>
    <mergeCell ref="B4:M4"/>
    <mergeCell ref="E75:H75"/>
  </mergeCells>
  <pageMargins left="0.7" right="0.7" top="0.75" bottom="0.75" header="0.3" footer="0.3"/>
  <pageSetup orientation="landscape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233"/>
  <sheetViews>
    <sheetView workbookViewId="0">
      <selection activeCell="F108" sqref="F108"/>
    </sheetView>
  </sheetViews>
  <sheetFormatPr defaultRowHeight="18" customHeight="1"/>
  <cols>
    <col min="1" max="1" width="2.140625" style="329" customWidth="1"/>
    <col min="2" max="4" width="4" style="333" customWidth="1"/>
    <col min="5" max="5" width="4.140625" style="333" customWidth="1"/>
    <col min="6" max="6" width="53.7109375" style="329" customWidth="1"/>
    <col min="7" max="7" width="13.85546875" style="334" customWidth="1"/>
    <col min="8" max="8" width="10.140625" style="329" customWidth="1"/>
    <col min="9" max="9" width="14" style="329" customWidth="1"/>
    <col min="10" max="10" width="11.28515625" style="329" bestFit="1" customWidth="1"/>
    <col min="11" max="16384" width="9.140625" style="329"/>
  </cols>
  <sheetData>
    <row r="1" spans="2:8" ht="17.100000000000001" customHeight="1">
      <c r="B1" s="1010" t="s">
        <v>973</v>
      </c>
      <c r="C1" s="1010"/>
      <c r="D1" s="1010"/>
      <c r="E1" s="1010"/>
      <c r="F1" s="1010"/>
      <c r="G1" s="1010"/>
      <c r="H1" s="1010"/>
    </row>
    <row r="2" spans="2:8" ht="17.100000000000001" customHeight="1">
      <c r="B2" s="330" t="s">
        <v>546</v>
      </c>
      <c r="C2" s="330"/>
      <c r="D2" s="330"/>
      <c r="E2" s="330"/>
      <c r="F2" s="331" t="s">
        <v>548</v>
      </c>
      <c r="G2" s="332"/>
      <c r="H2" s="331"/>
    </row>
    <row r="3" spans="2:8" ht="17.100000000000001" customHeight="1">
      <c r="B3" s="330" t="s">
        <v>547</v>
      </c>
      <c r="C3" s="330"/>
      <c r="D3" s="330"/>
      <c r="E3" s="330"/>
      <c r="F3" s="331" t="s">
        <v>548</v>
      </c>
      <c r="G3" s="332"/>
      <c r="H3" s="331"/>
    </row>
    <row r="4" spans="2:8" ht="17.100000000000001" customHeight="1">
      <c r="B4" s="330" t="s">
        <v>579</v>
      </c>
      <c r="C4" s="330"/>
      <c r="D4" s="330"/>
      <c r="E4" s="330"/>
      <c r="F4" s="331" t="s">
        <v>580</v>
      </c>
      <c r="G4" s="332"/>
      <c r="H4" s="331"/>
    </row>
    <row r="5" spans="2:8" ht="17.100000000000001" customHeight="1">
      <c r="B5" s="330" t="s">
        <v>581</v>
      </c>
      <c r="C5" s="330"/>
      <c r="D5" s="330"/>
      <c r="E5" s="330"/>
      <c r="F5" s="331"/>
      <c r="G5" s="332"/>
      <c r="H5" s="331"/>
    </row>
    <row r="6" spans="2:8" ht="8.25" customHeight="1"/>
    <row r="7" spans="2:8" ht="18" customHeight="1">
      <c r="B7" s="1001" t="s">
        <v>260</v>
      </c>
      <c r="C7" s="1002"/>
      <c r="D7" s="1002"/>
      <c r="E7" s="1003"/>
      <c r="F7" s="1007" t="s">
        <v>549</v>
      </c>
      <c r="G7" s="335" t="s">
        <v>59</v>
      </c>
      <c r="H7" s="1008" t="s">
        <v>550</v>
      </c>
    </row>
    <row r="8" spans="2:8" ht="18" customHeight="1">
      <c r="B8" s="1004"/>
      <c r="C8" s="1005"/>
      <c r="D8" s="1005"/>
      <c r="E8" s="1006"/>
      <c r="F8" s="1007"/>
      <c r="G8" s="336" t="s">
        <v>247</v>
      </c>
      <c r="H8" s="1009"/>
    </row>
    <row r="9" spans="2:8" ht="18" customHeight="1">
      <c r="B9" s="338">
        <v>2</v>
      </c>
      <c r="C9" s="338">
        <v>2</v>
      </c>
      <c r="D9" s="339"/>
      <c r="E9" s="339"/>
      <c r="F9" s="340" t="s">
        <v>36</v>
      </c>
      <c r="G9" s="352" t="e">
        <f>SUM(G10:G16)</f>
        <v>#REF!</v>
      </c>
      <c r="H9" s="337"/>
    </row>
    <row r="10" spans="2:8" ht="18" customHeight="1">
      <c r="B10" s="10">
        <v>2</v>
      </c>
      <c r="C10" s="10">
        <v>2</v>
      </c>
      <c r="D10" s="10">
        <v>2</v>
      </c>
      <c r="E10" s="10"/>
      <c r="F10" s="275" t="s">
        <v>136</v>
      </c>
      <c r="G10" s="409" t="e">
        <f>APBDes2017!#REF!</f>
        <v>#REF!</v>
      </c>
      <c r="H10" s="10"/>
    </row>
    <row r="11" spans="2:8" ht="18" customHeight="1">
      <c r="B11" s="10">
        <v>2</v>
      </c>
      <c r="C11" s="10">
        <v>2</v>
      </c>
      <c r="D11" s="10">
        <v>4</v>
      </c>
      <c r="E11" s="10"/>
      <c r="F11" s="275" t="s">
        <v>569</v>
      </c>
      <c r="G11" s="410"/>
      <c r="H11" s="10"/>
    </row>
    <row r="12" spans="2:8" ht="18" customHeight="1">
      <c r="B12" s="10">
        <v>2</v>
      </c>
      <c r="C12" s="10">
        <v>2</v>
      </c>
      <c r="D12" s="10">
        <v>5</v>
      </c>
      <c r="E12" s="10"/>
      <c r="F12" s="75" t="s">
        <v>137</v>
      </c>
      <c r="G12" s="180"/>
      <c r="H12" s="9"/>
    </row>
    <row r="13" spans="2:8" ht="34.5" customHeight="1">
      <c r="B13" s="10">
        <v>2</v>
      </c>
      <c r="C13" s="10">
        <v>2</v>
      </c>
      <c r="D13" s="10">
        <v>9</v>
      </c>
      <c r="E13" s="344"/>
      <c r="F13" s="348" t="s">
        <v>572</v>
      </c>
      <c r="G13" s="411"/>
      <c r="H13" s="9"/>
    </row>
    <row r="14" spans="2:8" ht="18" customHeight="1">
      <c r="B14" s="11">
        <v>2</v>
      </c>
      <c r="C14" s="11">
        <v>2</v>
      </c>
      <c r="D14" s="11">
        <v>12</v>
      </c>
      <c r="E14" s="346"/>
      <c r="F14" s="75" t="s">
        <v>138</v>
      </c>
      <c r="G14" s="351">
        <v>0</v>
      </c>
      <c r="H14" s="10"/>
    </row>
    <row r="15" spans="2:8" ht="35.25" customHeight="1">
      <c r="B15" s="28">
        <v>2</v>
      </c>
      <c r="C15" s="28">
        <v>2</v>
      </c>
      <c r="D15" s="28">
        <v>19</v>
      </c>
      <c r="E15" s="28"/>
      <c r="F15" s="349" t="s">
        <v>139</v>
      </c>
      <c r="G15" s="412" t="e">
        <f>APBDes2017!H86-APBDes2017!#REF!-APBDes2017!#REF!-APBDes2017!#REF!-APBDes2017!H89-APBDes2017!#REF!-APBDes2017!#REF!</f>
        <v>#REF!</v>
      </c>
      <c r="H15" s="23"/>
    </row>
    <row r="16" spans="2:8" ht="16.5" customHeight="1">
      <c r="B16" s="11">
        <v>2</v>
      </c>
      <c r="C16" s="11">
        <v>2</v>
      </c>
      <c r="D16" s="11">
        <v>32</v>
      </c>
      <c r="E16" s="11"/>
      <c r="F16" s="345" t="s">
        <v>490</v>
      </c>
      <c r="G16" s="183">
        <v>0</v>
      </c>
      <c r="H16" s="10"/>
    </row>
    <row r="17" spans="2:8" ht="18" customHeight="1">
      <c r="B17" s="14">
        <v>2</v>
      </c>
      <c r="C17" s="14">
        <v>4</v>
      </c>
      <c r="D17" s="14"/>
      <c r="E17" s="11"/>
      <c r="F17" s="343" t="s">
        <v>40</v>
      </c>
      <c r="G17" s="347">
        <f>SUM(G18:G36)</f>
        <v>0</v>
      </c>
      <c r="H17" s="10"/>
    </row>
    <row r="18" spans="2:8" ht="36" customHeight="1">
      <c r="B18" s="10">
        <v>2</v>
      </c>
      <c r="C18" s="10">
        <v>4</v>
      </c>
      <c r="D18" s="10">
        <v>1</v>
      </c>
      <c r="E18" s="337"/>
      <c r="F18" s="75" t="s">
        <v>144</v>
      </c>
      <c r="G18" s="342">
        <v>0</v>
      </c>
      <c r="H18" s="10"/>
    </row>
    <row r="19" spans="2:8" ht="36.75" customHeight="1">
      <c r="B19" s="10">
        <v>2</v>
      </c>
      <c r="C19" s="10">
        <v>4</v>
      </c>
      <c r="D19" s="10">
        <v>3</v>
      </c>
      <c r="E19" s="337"/>
      <c r="F19" s="75" t="s">
        <v>145</v>
      </c>
      <c r="G19" s="180">
        <v>0</v>
      </c>
      <c r="H19" s="337"/>
    </row>
    <row r="20" spans="2:8" ht="35.25" customHeight="1">
      <c r="B20" s="10">
        <v>2</v>
      </c>
      <c r="C20" s="10">
        <v>4</v>
      </c>
      <c r="D20" s="10">
        <v>5</v>
      </c>
      <c r="E20" s="337"/>
      <c r="F20" s="75" t="s">
        <v>146</v>
      </c>
      <c r="G20" s="342">
        <v>0</v>
      </c>
      <c r="H20" s="337"/>
    </row>
    <row r="21" spans="2:8" ht="35.25" customHeight="1">
      <c r="B21" s="11">
        <v>2</v>
      </c>
      <c r="C21" s="11">
        <v>4</v>
      </c>
      <c r="D21" s="11">
        <v>7</v>
      </c>
      <c r="E21" s="337"/>
      <c r="F21" s="75" t="s">
        <v>147</v>
      </c>
      <c r="G21" s="12">
        <v>0</v>
      </c>
      <c r="H21" s="337"/>
    </row>
    <row r="22" spans="2:8" ht="35.25" customHeight="1">
      <c r="B22" s="11">
        <v>2</v>
      </c>
      <c r="C22" s="11">
        <v>4</v>
      </c>
      <c r="D22" s="11">
        <v>8</v>
      </c>
      <c r="E22" s="337"/>
      <c r="F22" s="75" t="s">
        <v>148</v>
      </c>
      <c r="G22" s="12">
        <v>0</v>
      </c>
      <c r="H22" s="337"/>
    </row>
    <row r="23" spans="2:8" ht="18" customHeight="1">
      <c r="B23" s="11">
        <v>2</v>
      </c>
      <c r="C23" s="11">
        <v>4</v>
      </c>
      <c r="D23" s="11">
        <v>9</v>
      </c>
      <c r="E23" s="337"/>
      <c r="F23" s="75" t="s">
        <v>149</v>
      </c>
      <c r="G23" s="15"/>
      <c r="H23" s="337"/>
    </row>
    <row r="24" spans="2:8" ht="18" customHeight="1">
      <c r="B24" s="11">
        <v>2</v>
      </c>
      <c r="C24" s="11">
        <v>4</v>
      </c>
      <c r="D24" s="11">
        <v>10</v>
      </c>
      <c r="E24" s="337"/>
      <c r="F24" s="75" t="s">
        <v>150</v>
      </c>
      <c r="G24" s="12">
        <v>0</v>
      </c>
      <c r="H24" s="337"/>
    </row>
    <row r="25" spans="2:8" ht="32.25" customHeight="1">
      <c r="B25" s="11">
        <v>2</v>
      </c>
      <c r="C25" s="11">
        <v>4</v>
      </c>
      <c r="D25" s="11">
        <v>11</v>
      </c>
      <c r="E25" s="337"/>
      <c r="F25" s="75" t="s">
        <v>151</v>
      </c>
      <c r="G25" s="12">
        <v>0</v>
      </c>
      <c r="H25" s="337"/>
    </row>
    <row r="26" spans="2:8" ht="19.5" customHeight="1">
      <c r="B26" s="11">
        <v>2</v>
      </c>
      <c r="C26" s="11">
        <v>4</v>
      </c>
      <c r="D26" s="11">
        <v>13</v>
      </c>
      <c r="E26" s="337"/>
      <c r="F26" s="75" t="s">
        <v>152</v>
      </c>
      <c r="G26" s="12">
        <v>0</v>
      </c>
      <c r="H26" s="337"/>
    </row>
    <row r="27" spans="2:8" ht="18" customHeight="1">
      <c r="B27" s="11">
        <v>2</v>
      </c>
      <c r="C27" s="11">
        <v>4</v>
      </c>
      <c r="D27" s="11">
        <v>14</v>
      </c>
      <c r="E27" s="337"/>
      <c r="F27" s="75" t="s">
        <v>153</v>
      </c>
      <c r="G27" s="12">
        <v>0</v>
      </c>
      <c r="H27" s="337"/>
    </row>
    <row r="28" spans="2:8" ht="18" customHeight="1">
      <c r="B28" s="11">
        <v>2</v>
      </c>
      <c r="C28" s="11">
        <v>4</v>
      </c>
      <c r="D28" s="11">
        <v>15</v>
      </c>
      <c r="E28" s="337"/>
      <c r="F28" s="75" t="s">
        <v>154</v>
      </c>
      <c r="G28" s="12">
        <v>0</v>
      </c>
      <c r="H28" s="337"/>
    </row>
    <row r="29" spans="2:8" ht="35.25" customHeight="1">
      <c r="B29" s="11">
        <v>2</v>
      </c>
      <c r="C29" s="11">
        <v>4</v>
      </c>
      <c r="D29" s="11">
        <v>16</v>
      </c>
      <c r="E29" s="337"/>
      <c r="F29" s="75" t="s">
        <v>155</v>
      </c>
      <c r="G29" s="12">
        <v>0</v>
      </c>
      <c r="H29" s="337"/>
    </row>
    <row r="30" spans="2:8" ht="18" customHeight="1">
      <c r="B30" s="11">
        <v>2</v>
      </c>
      <c r="C30" s="11">
        <v>4</v>
      </c>
      <c r="D30" s="11">
        <v>17</v>
      </c>
      <c r="E30" s="337"/>
      <c r="F30" s="75" t="s">
        <v>156</v>
      </c>
      <c r="G30" s="12">
        <v>0</v>
      </c>
      <c r="H30" s="337"/>
    </row>
    <row r="31" spans="2:8" ht="50.25" customHeight="1">
      <c r="B31" s="11">
        <v>2</v>
      </c>
      <c r="C31" s="11">
        <v>4</v>
      </c>
      <c r="D31" s="11">
        <v>20</v>
      </c>
      <c r="E31" s="337"/>
      <c r="F31" s="75" t="s">
        <v>157</v>
      </c>
      <c r="G31" s="15"/>
      <c r="H31" s="337"/>
    </row>
    <row r="32" spans="2:8" ht="21" customHeight="1">
      <c r="B32" s="11">
        <v>2</v>
      </c>
      <c r="C32" s="11">
        <v>4</v>
      </c>
      <c r="D32" s="11">
        <v>21</v>
      </c>
      <c r="E32" s="337"/>
      <c r="F32" s="75" t="s">
        <v>158</v>
      </c>
      <c r="G32" s="12">
        <v>0</v>
      </c>
      <c r="H32" s="337"/>
    </row>
    <row r="33" spans="2:9" ht="18" customHeight="1">
      <c r="B33" s="11">
        <v>2</v>
      </c>
      <c r="C33" s="11">
        <v>4</v>
      </c>
      <c r="D33" s="11">
        <v>22</v>
      </c>
      <c r="E33" s="337"/>
      <c r="F33" s="75" t="s">
        <v>159</v>
      </c>
      <c r="G33" s="15"/>
      <c r="H33" s="337"/>
    </row>
    <row r="34" spans="2:9" ht="36" customHeight="1">
      <c r="B34" s="11">
        <v>2</v>
      </c>
      <c r="C34" s="11">
        <v>4</v>
      </c>
      <c r="D34" s="11">
        <v>23</v>
      </c>
      <c r="E34" s="337"/>
      <c r="F34" s="75" t="s">
        <v>160</v>
      </c>
      <c r="G34" s="12">
        <v>0</v>
      </c>
      <c r="H34" s="337"/>
    </row>
    <row r="35" spans="2:9" ht="14.25" customHeight="1">
      <c r="B35" s="11">
        <v>2</v>
      </c>
      <c r="C35" s="11">
        <v>4</v>
      </c>
      <c r="D35" s="11">
        <v>27</v>
      </c>
      <c r="E35" s="337"/>
      <c r="F35" s="75" t="s">
        <v>161</v>
      </c>
      <c r="G35" s="12">
        <v>0</v>
      </c>
      <c r="H35" s="337"/>
    </row>
    <row r="36" spans="2:9" ht="15.75" customHeight="1">
      <c r="B36" s="11">
        <v>2</v>
      </c>
      <c r="C36" s="11">
        <v>4</v>
      </c>
      <c r="D36" s="11">
        <v>29</v>
      </c>
      <c r="E36" s="337"/>
      <c r="F36" s="75" t="s">
        <v>162</v>
      </c>
      <c r="G36" s="12">
        <v>0</v>
      </c>
      <c r="H36" s="337"/>
    </row>
    <row r="37" spans="2:9" ht="18" customHeight="1">
      <c r="B37" s="339"/>
      <c r="C37" s="339"/>
      <c r="D37" s="339"/>
      <c r="E37" s="339"/>
      <c r="F37" s="337"/>
      <c r="G37" s="341" t="e">
        <f>SUM(G9+G17)</f>
        <v>#REF!</v>
      </c>
      <c r="H37" s="337"/>
      <c r="I37" s="334" t="e">
        <f>SUM(G37-392760000)</f>
        <v>#REF!</v>
      </c>
    </row>
    <row r="38" spans="2:9" ht="18" customHeight="1">
      <c r="G38" s="353" t="s">
        <v>582</v>
      </c>
      <c r="H38" s="353"/>
    </row>
    <row r="39" spans="2:9" ht="18" customHeight="1">
      <c r="G39" s="353" t="s">
        <v>50</v>
      </c>
      <c r="H39" s="353"/>
    </row>
    <row r="40" spans="2:9" ht="18" customHeight="1">
      <c r="G40" s="354"/>
      <c r="H40" s="355"/>
    </row>
    <row r="41" spans="2:9" ht="18" customHeight="1">
      <c r="G41" s="354"/>
      <c r="H41" s="355"/>
    </row>
    <row r="42" spans="2:9" ht="18" customHeight="1">
      <c r="G42" s="354"/>
      <c r="H42" s="355"/>
    </row>
    <row r="43" spans="2:9" ht="18" customHeight="1">
      <c r="G43" s="4"/>
      <c r="H43" s="270" t="s">
        <v>51</v>
      </c>
    </row>
    <row r="45" spans="2:9" ht="18" customHeight="1">
      <c r="B45" s="1010" t="s">
        <v>545</v>
      </c>
      <c r="C45" s="1010"/>
      <c r="D45" s="1010"/>
      <c r="E45" s="1010"/>
      <c r="F45" s="1010"/>
      <c r="G45" s="1010"/>
      <c r="H45" s="1010"/>
    </row>
    <row r="46" spans="2:9" ht="18" customHeight="1">
      <c r="B46" s="330" t="s">
        <v>546</v>
      </c>
      <c r="C46" s="330"/>
      <c r="D46" s="330"/>
      <c r="E46" s="330"/>
      <c r="F46" s="331" t="s">
        <v>548</v>
      </c>
      <c r="G46" s="332"/>
      <c r="H46" s="331"/>
    </row>
    <row r="47" spans="2:9" ht="18" customHeight="1">
      <c r="B47" s="330" t="s">
        <v>547</v>
      </c>
      <c r="C47" s="330"/>
      <c r="D47" s="330"/>
      <c r="E47" s="330"/>
      <c r="F47" s="331" t="s">
        <v>548</v>
      </c>
      <c r="G47" s="332"/>
      <c r="H47" s="331"/>
    </row>
    <row r="48" spans="2:9" ht="18" customHeight="1">
      <c r="B48" s="330" t="s">
        <v>579</v>
      </c>
      <c r="C48" s="330"/>
      <c r="D48" s="330"/>
      <c r="E48" s="330"/>
      <c r="F48" s="331" t="s">
        <v>590</v>
      </c>
      <c r="G48" s="332"/>
      <c r="H48" s="331"/>
    </row>
    <row r="49" spans="2:10" ht="18" customHeight="1">
      <c r="B49" s="330" t="s">
        <v>595</v>
      </c>
      <c r="C49" s="330"/>
      <c r="D49" s="330"/>
      <c r="E49" s="330"/>
      <c r="F49" s="331"/>
      <c r="G49" s="332"/>
      <c r="H49" s="331"/>
    </row>
    <row r="51" spans="2:10" ht="18" customHeight="1">
      <c r="B51" s="1001" t="s">
        <v>260</v>
      </c>
      <c r="C51" s="1002"/>
      <c r="D51" s="1002"/>
      <c r="E51" s="1003"/>
      <c r="F51" s="1007" t="s">
        <v>549</v>
      </c>
      <c r="G51" s="335" t="s">
        <v>59</v>
      </c>
      <c r="H51" s="1008" t="s">
        <v>550</v>
      </c>
    </row>
    <row r="52" spans="2:10" ht="18" customHeight="1">
      <c r="B52" s="1004"/>
      <c r="C52" s="1005"/>
      <c r="D52" s="1005"/>
      <c r="E52" s="1006"/>
      <c r="F52" s="1007"/>
      <c r="G52" s="336" t="s">
        <v>247</v>
      </c>
      <c r="H52" s="1009"/>
    </row>
    <row r="53" spans="2:10" ht="18" customHeight="1">
      <c r="B53" s="418">
        <v>2</v>
      </c>
      <c r="C53" s="418">
        <v>2</v>
      </c>
      <c r="D53" s="339"/>
      <c r="E53" s="339"/>
      <c r="F53" s="340" t="s">
        <v>36</v>
      </c>
      <c r="G53" s="352">
        <f>SUM(G54:G60)</f>
        <v>0</v>
      </c>
      <c r="H53" s="337"/>
    </row>
    <row r="54" spans="2:10" ht="18" customHeight="1">
      <c r="B54" s="10">
        <v>2</v>
      </c>
      <c r="C54" s="10">
        <v>2</v>
      </c>
      <c r="D54" s="10">
        <v>2</v>
      </c>
      <c r="E54" s="10"/>
      <c r="F54" s="275" t="s">
        <v>136</v>
      </c>
      <c r="G54" s="350"/>
      <c r="H54" s="10"/>
    </row>
    <row r="55" spans="2:10" ht="35.25" customHeight="1">
      <c r="B55" s="10">
        <v>2</v>
      </c>
      <c r="C55" s="10">
        <v>2</v>
      </c>
      <c r="D55" s="10">
        <v>4</v>
      </c>
      <c r="E55" s="10"/>
      <c r="F55" s="275" t="s">
        <v>569</v>
      </c>
      <c r="G55" s="342"/>
      <c r="H55" s="10"/>
    </row>
    <row r="56" spans="2:10" ht="18" customHeight="1">
      <c r="B56" s="10">
        <v>2</v>
      </c>
      <c r="C56" s="10">
        <v>2</v>
      </c>
      <c r="D56" s="10">
        <v>5</v>
      </c>
      <c r="E56" s="10"/>
      <c r="F56" s="75" t="s">
        <v>137</v>
      </c>
      <c r="G56" s="180">
        <v>0</v>
      </c>
      <c r="H56" s="9"/>
    </row>
    <row r="57" spans="2:10" ht="36.75" customHeight="1">
      <c r="B57" s="28">
        <v>2</v>
      </c>
      <c r="C57" s="28">
        <v>2</v>
      </c>
      <c r="D57" s="28">
        <v>19</v>
      </c>
      <c r="E57" s="28"/>
      <c r="F57" s="349" t="s">
        <v>139</v>
      </c>
      <c r="G57" s="24"/>
      <c r="H57" s="23"/>
      <c r="I57" s="334">
        <v>55670000</v>
      </c>
      <c r="J57" s="334">
        <f>SUM(G57-I57)</f>
        <v>-55670000</v>
      </c>
    </row>
    <row r="58" spans="2:10" ht="18" customHeight="1">
      <c r="B58" s="11">
        <v>2</v>
      </c>
      <c r="C58" s="11">
        <v>2</v>
      </c>
      <c r="D58" s="11">
        <v>32</v>
      </c>
      <c r="E58" s="11"/>
      <c r="F58" s="345" t="s">
        <v>490</v>
      </c>
      <c r="G58" s="183">
        <v>0</v>
      </c>
      <c r="H58" s="10"/>
      <c r="I58" s="334"/>
    </row>
    <row r="59" spans="2:10" ht="18" customHeight="1">
      <c r="B59" s="11">
        <v>2</v>
      </c>
      <c r="C59" s="11">
        <v>2</v>
      </c>
      <c r="D59" s="11">
        <v>52</v>
      </c>
      <c r="E59" s="11"/>
      <c r="F59" s="345" t="s">
        <v>491</v>
      </c>
      <c r="G59" s="183">
        <v>0</v>
      </c>
      <c r="H59" s="10"/>
      <c r="I59" s="334"/>
    </row>
    <row r="60" spans="2:10" ht="9.75" customHeight="1">
      <c r="B60" s="11"/>
      <c r="C60" s="11"/>
      <c r="D60" s="11"/>
      <c r="E60" s="11"/>
      <c r="F60" s="345"/>
      <c r="G60" s="183"/>
      <c r="H60" s="10"/>
      <c r="I60" s="334"/>
    </row>
    <row r="61" spans="2:10" ht="18" customHeight="1">
      <c r="B61" s="14">
        <v>2</v>
      </c>
      <c r="C61" s="14">
        <v>4</v>
      </c>
      <c r="D61" s="14"/>
      <c r="E61" s="11"/>
      <c r="F61" s="343" t="s">
        <v>40</v>
      </c>
      <c r="G61" s="347">
        <f>SUM(G62:G69)</f>
        <v>0</v>
      </c>
      <c r="H61" s="10"/>
    </row>
    <row r="62" spans="2:10" ht="18" customHeight="1">
      <c r="B62" s="11">
        <v>2</v>
      </c>
      <c r="C62" s="11">
        <v>4</v>
      </c>
      <c r="D62" s="11">
        <v>10</v>
      </c>
      <c r="E62" s="337"/>
      <c r="F62" s="75" t="s">
        <v>150</v>
      </c>
      <c r="G62" s="12">
        <v>0</v>
      </c>
      <c r="H62" s="337"/>
    </row>
    <row r="63" spans="2:10" ht="33.75" customHeight="1">
      <c r="B63" s="11">
        <v>2</v>
      </c>
      <c r="C63" s="11">
        <v>4</v>
      </c>
      <c r="D63" s="11">
        <v>11</v>
      </c>
      <c r="E63" s="337"/>
      <c r="F63" s="75" t="s">
        <v>151</v>
      </c>
      <c r="G63" s="12">
        <v>0</v>
      </c>
      <c r="H63" s="337"/>
    </row>
    <row r="64" spans="2:10" ht="18" customHeight="1">
      <c r="B64" s="11">
        <v>2</v>
      </c>
      <c r="C64" s="11">
        <v>4</v>
      </c>
      <c r="D64" s="11">
        <v>13</v>
      </c>
      <c r="E64" s="337"/>
      <c r="F64" s="75" t="s">
        <v>152</v>
      </c>
      <c r="G64" s="12"/>
      <c r="H64" s="337"/>
    </row>
    <row r="65" spans="2:10" ht="18" customHeight="1">
      <c r="B65" s="11">
        <v>2</v>
      </c>
      <c r="C65" s="11">
        <v>4</v>
      </c>
      <c r="D65" s="11">
        <v>14</v>
      </c>
      <c r="E65" s="337"/>
      <c r="F65" s="75" t="s">
        <v>153</v>
      </c>
      <c r="G65" s="12"/>
      <c r="H65" s="337"/>
    </row>
    <row r="66" spans="2:10" ht="18" customHeight="1">
      <c r="B66" s="11">
        <v>2</v>
      </c>
      <c r="C66" s="11">
        <v>4</v>
      </c>
      <c r="D66" s="11">
        <v>17</v>
      </c>
      <c r="E66" s="337"/>
      <c r="F66" s="75" t="s">
        <v>156</v>
      </c>
      <c r="G66" s="12"/>
      <c r="H66" s="337"/>
    </row>
    <row r="67" spans="2:10" ht="18" customHeight="1">
      <c r="B67" s="11">
        <v>2</v>
      </c>
      <c r="C67" s="11">
        <v>4</v>
      </c>
      <c r="D67" s="11">
        <v>21</v>
      </c>
      <c r="E67" s="337"/>
      <c r="F67" s="75" t="s">
        <v>158</v>
      </c>
      <c r="G67" s="12"/>
      <c r="H67" s="337"/>
    </row>
    <row r="68" spans="2:10" ht="18" customHeight="1">
      <c r="B68" s="11">
        <v>2</v>
      </c>
      <c r="C68" s="11">
        <v>4</v>
      </c>
      <c r="D68" s="11">
        <v>22</v>
      </c>
      <c r="E68" s="337"/>
      <c r="F68" s="75" t="s">
        <v>159</v>
      </c>
      <c r="G68" s="12"/>
      <c r="H68" s="337"/>
    </row>
    <row r="69" spans="2:10" ht="21.75" customHeight="1">
      <c r="B69" s="11">
        <v>2</v>
      </c>
      <c r="C69" s="11">
        <v>4</v>
      </c>
      <c r="D69" s="11">
        <v>29</v>
      </c>
      <c r="E69" s="337"/>
      <c r="F69" s="75" t="s">
        <v>162</v>
      </c>
      <c r="G69" s="12"/>
      <c r="H69" s="337"/>
      <c r="I69" s="334">
        <v>261840000</v>
      </c>
    </row>
    <row r="70" spans="2:10" ht="18" customHeight="1">
      <c r="B70" s="339"/>
      <c r="C70" s="339"/>
      <c r="D70" s="339"/>
      <c r="E70" s="339"/>
      <c r="F70" s="337"/>
      <c r="G70" s="341">
        <f>SUM(G53+G61)</f>
        <v>0</v>
      </c>
      <c r="H70" s="337"/>
      <c r="I70" s="334">
        <f>SUM(G70-I69)</f>
        <v>-261840000</v>
      </c>
    </row>
    <row r="71" spans="2:10" ht="18" customHeight="1">
      <c r="G71" s="421" t="s">
        <v>974</v>
      </c>
      <c r="H71" s="353"/>
    </row>
    <row r="72" spans="2:10" ht="18" customHeight="1">
      <c r="G72" s="353" t="s">
        <v>50</v>
      </c>
      <c r="H72" s="353"/>
    </row>
    <row r="73" spans="2:10" ht="18" customHeight="1">
      <c r="G73" s="354"/>
      <c r="H73" s="355"/>
      <c r="J73"/>
    </row>
    <row r="74" spans="2:10" ht="18" customHeight="1">
      <c r="G74" s="354"/>
      <c r="H74" s="355"/>
    </row>
    <row r="75" spans="2:10" ht="18" customHeight="1">
      <c r="G75" s="354"/>
      <c r="H75" s="355"/>
    </row>
    <row r="76" spans="2:10" ht="18" customHeight="1">
      <c r="G76" s="4"/>
      <c r="H76" s="270" t="s">
        <v>51</v>
      </c>
    </row>
    <row r="77" spans="2:10" ht="18" customHeight="1">
      <c r="G77" s="4"/>
      <c r="H77" s="270"/>
    </row>
    <row r="78" spans="2:10" ht="18" customHeight="1">
      <c r="G78" s="4"/>
      <c r="H78" s="270"/>
    </row>
    <row r="79" spans="2:10" ht="18" customHeight="1">
      <c r="G79" s="4"/>
      <c r="H79" s="270"/>
    </row>
    <row r="80" spans="2:10" ht="18" customHeight="1">
      <c r="G80" s="4"/>
      <c r="H80" s="270"/>
    </row>
    <row r="81" spans="2:8" ht="18" customHeight="1">
      <c r="G81" s="4"/>
      <c r="H81" s="270"/>
    </row>
    <row r="82" spans="2:8" ht="18" customHeight="1">
      <c r="G82" s="4"/>
      <c r="H82" s="270"/>
    </row>
    <row r="83" spans="2:8" ht="18" customHeight="1">
      <c r="B83"/>
      <c r="C83"/>
      <c r="D83"/>
      <c r="E83"/>
      <c r="F83"/>
      <c r="G83"/>
      <c r="H83"/>
    </row>
    <row r="84" spans="2:8" ht="18" customHeight="1">
      <c r="B84"/>
      <c r="C84"/>
      <c r="D84"/>
      <c r="E84"/>
      <c r="F84"/>
      <c r="G84"/>
      <c r="H84"/>
    </row>
    <row r="85" spans="2:8" ht="18" customHeight="1">
      <c r="B85"/>
      <c r="C85"/>
      <c r="D85"/>
      <c r="E85"/>
      <c r="F85"/>
      <c r="G85"/>
      <c r="H85"/>
    </row>
    <row r="86" spans="2:8" ht="37.5" customHeight="1">
      <c r="B86"/>
      <c r="C86"/>
      <c r="D86"/>
      <c r="E86"/>
      <c r="F86"/>
      <c r="G86"/>
      <c r="H86"/>
    </row>
    <row r="87" spans="2:8" ht="18" customHeight="1">
      <c r="B87"/>
      <c r="C87"/>
      <c r="D87"/>
      <c r="E87"/>
      <c r="F87"/>
      <c r="G87"/>
      <c r="H87"/>
    </row>
    <row r="88" spans="2:8" ht="36" customHeight="1">
      <c r="B88"/>
      <c r="C88"/>
      <c r="D88"/>
      <c r="E88"/>
      <c r="F88"/>
      <c r="G88"/>
      <c r="H88"/>
    </row>
    <row r="89" spans="2:8" ht="18" customHeight="1">
      <c r="B89"/>
      <c r="C89"/>
      <c r="D89"/>
      <c r="E89"/>
      <c r="F89"/>
      <c r="G89"/>
      <c r="H89"/>
    </row>
    <row r="90" spans="2:8" ht="32.25" customHeight="1">
      <c r="B90"/>
      <c r="C90"/>
      <c r="D90"/>
      <c r="E90"/>
      <c r="F90"/>
      <c r="G90"/>
      <c r="H90"/>
    </row>
    <row r="91" spans="2:8" ht="18" customHeight="1">
      <c r="B91"/>
      <c r="C91"/>
      <c r="D91"/>
      <c r="E91"/>
      <c r="F91"/>
      <c r="G91"/>
      <c r="H91"/>
    </row>
    <row r="92" spans="2:8" ht="18" customHeight="1">
      <c r="B92"/>
      <c r="C92"/>
      <c r="D92"/>
      <c r="E92"/>
      <c r="F92"/>
      <c r="G92"/>
      <c r="H92"/>
    </row>
    <row r="93" spans="2:8" ht="33.75" customHeight="1">
      <c r="B93"/>
      <c r="C93"/>
      <c r="D93"/>
      <c r="E93"/>
      <c r="F93"/>
      <c r="G93"/>
      <c r="H93"/>
    </row>
    <row r="94" spans="2:8" ht="37.5" customHeight="1">
      <c r="B94"/>
      <c r="C94"/>
      <c r="D94"/>
      <c r="E94"/>
      <c r="F94"/>
      <c r="G94"/>
      <c r="H94"/>
    </row>
    <row r="95" spans="2:8" ht="35.25" customHeight="1">
      <c r="B95"/>
      <c r="C95"/>
      <c r="D95"/>
      <c r="E95"/>
      <c r="F95"/>
      <c r="G95"/>
      <c r="H95"/>
    </row>
    <row r="96" spans="2:8" ht="35.25" customHeight="1">
      <c r="B96"/>
      <c r="C96"/>
      <c r="D96"/>
      <c r="E96"/>
      <c r="F96"/>
      <c r="G96"/>
      <c r="H96"/>
    </row>
    <row r="97" spans="2:9" ht="35.25" customHeight="1">
      <c r="B97"/>
      <c r="C97"/>
      <c r="D97"/>
      <c r="E97"/>
      <c r="F97"/>
      <c r="G97"/>
      <c r="H97"/>
    </row>
    <row r="98" spans="2:9" ht="18" customHeight="1">
      <c r="B98"/>
      <c r="C98"/>
      <c r="D98"/>
      <c r="E98"/>
      <c r="F98"/>
      <c r="G98"/>
      <c r="H98"/>
    </row>
    <row r="99" spans="2:9" ht="18" customHeight="1">
      <c r="B99"/>
      <c r="C99"/>
      <c r="D99"/>
      <c r="E99"/>
      <c r="F99"/>
      <c r="G99"/>
      <c r="H99"/>
    </row>
    <row r="100" spans="2:9" ht="34.5" customHeight="1">
      <c r="B100"/>
      <c r="C100"/>
      <c r="D100"/>
      <c r="E100"/>
      <c r="F100"/>
      <c r="G100"/>
      <c r="H100"/>
    </row>
    <row r="101" spans="2:9" ht="18" customHeight="1">
      <c r="B101"/>
      <c r="C101"/>
      <c r="D101"/>
      <c r="E101"/>
      <c r="F101"/>
      <c r="G101"/>
      <c r="H101"/>
    </row>
    <row r="102" spans="2:9" ht="18" customHeight="1">
      <c r="B102"/>
      <c r="C102"/>
      <c r="D102"/>
      <c r="E102"/>
      <c r="F102"/>
      <c r="G102"/>
      <c r="H102"/>
    </row>
    <row r="103" spans="2:9" ht="18" customHeight="1">
      <c r="B103"/>
      <c r="C103"/>
      <c r="D103"/>
      <c r="E103"/>
      <c r="F103"/>
      <c r="G103"/>
      <c r="H103"/>
    </row>
    <row r="104" spans="2:9" ht="36" customHeight="1">
      <c r="B104"/>
      <c r="C104"/>
      <c r="D104"/>
      <c r="E104"/>
      <c r="F104"/>
      <c r="G104"/>
      <c r="H104"/>
    </row>
    <row r="105" spans="2:9" ht="18" customHeight="1">
      <c r="B105"/>
      <c r="C105"/>
      <c r="D105"/>
      <c r="E105"/>
      <c r="F105"/>
      <c r="G105"/>
      <c r="H105"/>
    </row>
    <row r="106" spans="2:9" ht="44.25" customHeight="1">
      <c r="B106"/>
      <c r="C106"/>
      <c r="D106"/>
      <c r="E106"/>
      <c r="F106"/>
      <c r="G106"/>
      <c r="H106"/>
    </row>
    <row r="107" spans="2:9" ht="18" customHeight="1">
      <c r="B107"/>
      <c r="C107"/>
      <c r="D107"/>
      <c r="E107"/>
      <c r="F107"/>
      <c r="G107"/>
      <c r="H107"/>
    </row>
    <row r="108" spans="2:9" ht="18" customHeight="1">
      <c r="B108"/>
      <c r="C108"/>
      <c r="D108"/>
      <c r="E108"/>
      <c r="F108"/>
      <c r="G108"/>
      <c r="H108"/>
    </row>
    <row r="109" spans="2:9" ht="33.75" customHeight="1">
      <c r="B109"/>
      <c r="C109"/>
      <c r="D109"/>
      <c r="E109"/>
      <c r="F109"/>
      <c r="G109"/>
      <c r="H109"/>
    </row>
    <row r="110" spans="2:9" ht="18" customHeight="1">
      <c r="B110"/>
      <c r="C110"/>
      <c r="D110"/>
      <c r="E110"/>
      <c r="F110"/>
      <c r="G110"/>
      <c r="H110"/>
    </row>
    <row r="111" spans="2:9" ht="18" customHeight="1">
      <c r="B111"/>
      <c r="C111"/>
      <c r="D111"/>
      <c r="E111"/>
      <c r="F111"/>
      <c r="G111"/>
      <c r="H111"/>
    </row>
    <row r="112" spans="2:9" ht="18" customHeight="1">
      <c r="B112"/>
      <c r="C112"/>
      <c r="D112"/>
      <c r="E112"/>
      <c r="F112"/>
      <c r="G112"/>
      <c r="H112"/>
      <c r="I112" s="334"/>
    </row>
    <row r="113" spans="7:11" ht="18" customHeight="1">
      <c r="G113" s="353"/>
      <c r="H113" s="353"/>
      <c r="I113" s="334"/>
    </row>
    <row r="114" spans="7:11" ht="18" customHeight="1">
      <c r="G114" s="353"/>
      <c r="H114" s="353"/>
      <c r="I114" s="334"/>
      <c r="K114" s="334"/>
    </row>
    <row r="115" spans="7:11" ht="18" customHeight="1">
      <c r="G115" s="354"/>
      <c r="H115" s="355"/>
    </row>
    <row r="116" spans="7:11" ht="18" customHeight="1">
      <c r="G116" s="354"/>
      <c r="H116" s="355"/>
    </row>
    <row r="117" spans="7:11" ht="18" customHeight="1">
      <c r="G117" s="354"/>
      <c r="H117" s="355"/>
    </row>
    <row r="118" spans="7:11" ht="18" customHeight="1">
      <c r="G118" s="4"/>
      <c r="H118" s="270"/>
    </row>
    <row r="180" spans="1:8" ht="18" customHeight="1">
      <c r="A180"/>
      <c r="B180"/>
      <c r="C180"/>
      <c r="D180"/>
      <c r="E180"/>
      <c r="F180" s="417"/>
      <c r="G180"/>
      <c r="H180"/>
    </row>
    <row r="181" spans="1:8" ht="18" customHeight="1">
      <c r="A181"/>
      <c r="B181"/>
      <c r="C181"/>
      <c r="D181"/>
      <c r="E181"/>
      <c r="F181" s="417"/>
      <c r="G181"/>
      <c r="H181"/>
    </row>
    <row r="182" spans="1:8" ht="18" customHeight="1">
      <c r="A182"/>
      <c r="B182"/>
      <c r="C182"/>
      <c r="D182"/>
      <c r="E182"/>
      <c r="F182" s="417"/>
      <c r="G182"/>
      <c r="H182"/>
    </row>
    <row r="183" spans="1:8" ht="18" customHeight="1">
      <c r="A183"/>
      <c r="B183"/>
      <c r="C183"/>
      <c r="D183"/>
      <c r="E183"/>
      <c r="F183" s="417"/>
      <c r="G183"/>
      <c r="H183"/>
    </row>
    <row r="184" spans="1:8" ht="18" customHeight="1">
      <c r="A184"/>
      <c r="B184"/>
      <c r="C184"/>
      <c r="D184"/>
      <c r="E184"/>
      <c r="F184"/>
      <c r="G184"/>
      <c r="H184"/>
    </row>
    <row r="185" spans="1:8" ht="18" customHeight="1">
      <c r="A185"/>
      <c r="B185"/>
      <c r="C185"/>
      <c r="D185"/>
      <c r="E185"/>
      <c r="F185" s="417"/>
      <c r="G185"/>
      <c r="H185"/>
    </row>
    <row r="186" spans="1:8" ht="18" customHeight="1">
      <c r="A186"/>
      <c r="B186"/>
      <c r="C186"/>
      <c r="D186"/>
      <c r="E186"/>
      <c r="F186"/>
      <c r="G186"/>
      <c r="H186"/>
    </row>
    <row r="187" spans="1:8" ht="18" customHeight="1">
      <c r="A187"/>
      <c r="B187"/>
      <c r="C187"/>
      <c r="D187"/>
      <c r="E187"/>
      <c r="F187"/>
      <c r="G187"/>
      <c r="H187"/>
    </row>
    <row r="188" spans="1:8" ht="18" customHeight="1">
      <c r="A188"/>
      <c r="B188"/>
      <c r="C188"/>
      <c r="D188"/>
      <c r="E188"/>
      <c r="F188"/>
      <c r="G188"/>
      <c r="H188"/>
    </row>
    <row r="189" spans="1:8" ht="18" customHeight="1">
      <c r="A189"/>
      <c r="B189"/>
      <c r="C189"/>
      <c r="D189"/>
      <c r="E189"/>
      <c r="F189"/>
      <c r="G189"/>
      <c r="H189"/>
    </row>
    <row r="190" spans="1:8" ht="18" customHeight="1">
      <c r="A190"/>
      <c r="B190"/>
      <c r="C190"/>
      <c r="D190"/>
      <c r="E190"/>
      <c r="F190"/>
      <c r="G190"/>
      <c r="H190"/>
    </row>
    <row r="191" spans="1:8" ht="18" customHeight="1">
      <c r="A191"/>
      <c r="B191"/>
      <c r="C191"/>
      <c r="D191"/>
      <c r="E191"/>
      <c r="F191"/>
      <c r="G191"/>
      <c r="H191"/>
    </row>
    <row r="192" spans="1:8" ht="18" customHeight="1">
      <c r="A192"/>
      <c r="B192"/>
      <c r="C192"/>
      <c r="D192"/>
      <c r="E192"/>
      <c r="F192"/>
      <c r="G192"/>
      <c r="H192"/>
    </row>
    <row r="193" spans="1:8" ht="18" customHeight="1">
      <c r="A193"/>
      <c r="B193"/>
      <c r="C193"/>
      <c r="D193"/>
      <c r="E193"/>
      <c r="F193"/>
      <c r="G193"/>
      <c r="H193"/>
    </row>
    <row r="194" spans="1:8" ht="18" customHeight="1">
      <c r="A194"/>
      <c r="B194"/>
      <c r="C194"/>
      <c r="D194"/>
      <c r="E194"/>
      <c r="F194"/>
      <c r="G194"/>
      <c r="H194"/>
    </row>
    <row r="195" spans="1:8" ht="18" customHeight="1">
      <c r="A195"/>
      <c r="B195"/>
      <c r="C195"/>
      <c r="D195"/>
      <c r="E195"/>
      <c r="F195"/>
      <c r="G195"/>
      <c r="H195"/>
    </row>
    <row r="196" spans="1:8" ht="18" customHeight="1">
      <c r="A196"/>
      <c r="B196"/>
      <c r="C196"/>
      <c r="D196"/>
      <c r="E196"/>
      <c r="F196"/>
      <c r="G196"/>
      <c r="H196"/>
    </row>
    <row r="197" spans="1:8" ht="18" customHeight="1">
      <c r="A197"/>
      <c r="B197"/>
      <c r="C197"/>
      <c r="D197"/>
      <c r="E197"/>
      <c r="F197"/>
      <c r="G197"/>
      <c r="H197"/>
    </row>
    <row r="198" spans="1:8" ht="18" customHeight="1">
      <c r="A198"/>
      <c r="B198"/>
      <c r="C198"/>
      <c r="D198"/>
      <c r="E198"/>
      <c r="F198"/>
      <c r="G198"/>
      <c r="H198"/>
    </row>
    <row r="199" spans="1:8" ht="18" customHeight="1">
      <c r="A199"/>
      <c r="B199"/>
      <c r="C199"/>
      <c r="D199"/>
      <c r="E199"/>
      <c r="F199"/>
      <c r="G199"/>
      <c r="H199"/>
    </row>
    <row r="200" spans="1:8" ht="18" customHeight="1">
      <c r="A200"/>
      <c r="B200"/>
      <c r="C200"/>
      <c r="D200"/>
      <c r="E200"/>
      <c r="F200"/>
      <c r="G200"/>
      <c r="H200"/>
    </row>
    <row r="201" spans="1:8" ht="18" customHeight="1">
      <c r="A201"/>
      <c r="B201"/>
      <c r="C201"/>
      <c r="D201"/>
      <c r="E201"/>
      <c r="F201"/>
      <c r="G201"/>
      <c r="H201"/>
    </row>
    <row r="202" spans="1:8" ht="18" customHeight="1">
      <c r="A202"/>
      <c r="B202"/>
      <c r="C202"/>
      <c r="D202"/>
      <c r="E202"/>
      <c r="F202"/>
      <c r="G202"/>
      <c r="H202"/>
    </row>
    <row r="203" spans="1:8" ht="18" customHeight="1">
      <c r="A203"/>
      <c r="B203"/>
      <c r="C203"/>
      <c r="D203"/>
      <c r="E203"/>
      <c r="F203"/>
      <c r="G203"/>
      <c r="H203"/>
    </row>
    <row r="204" spans="1:8" ht="18" customHeight="1">
      <c r="A204"/>
      <c r="B204"/>
      <c r="C204"/>
      <c r="D204"/>
      <c r="E204"/>
      <c r="F204"/>
      <c r="G204"/>
      <c r="H204"/>
    </row>
    <row r="205" spans="1:8" ht="18" customHeight="1">
      <c r="A205"/>
      <c r="B205"/>
      <c r="C205"/>
      <c r="D205"/>
      <c r="E205"/>
      <c r="F205"/>
      <c r="G205"/>
      <c r="H205"/>
    </row>
    <row r="206" spans="1:8" ht="18" customHeight="1">
      <c r="A206"/>
      <c r="B206"/>
      <c r="C206"/>
      <c r="D206"/>
      <c r="E206"/>
      <c r="F206"/>
      <c r="G206"/>
      <c r="H206"/>
    </row>
    <row r="207" spans="1:8" ht="18" customHeight="1">
      <c r="A207"/>
      <c r="B207"/>
      <c r="C207"/>
      <c r="D207"/>
      <c r="E207"/>
      <c r="F207"/>
      <c r="G207"/>
      <c r="H207"/>
    </row>
    <row r="208" spans="1:8" ht="18" customHeight="1">
      <c r="A208"/>
      <c r="B208"/>
      <c r="C208"/>
      <c r="D208"/>
      <c r="E208"/>
      <c r="F208"/>
      <c r="G208"/>
      <c r="H208"/>
    </row>
    <row r="209" spans="1:8" ht="18" customHeight="1">
      <c r="A209"/>
      <c r="B209"/>
      <c r="C209"/>
      <c r="D209"/>
      <c r="E209"/>
      <c r="F209"/>
      <c r="G209"/>
      <c r="H209"/>
    </row>
    <row r="210" spans="1:8" ht="18" customHeight="1">
      <c r="A210"/>
      <c r="B210"/>
      <c r="C210"/>
      <c r="D210"/>
      <c r="E210"/>
      <c r="F210"/>
      <c r="G210"/>
      <c r="H210"/>
    </row>
    <row r="211" spans="1:8" ht="18" customHeight="1">
      <c r="A211"/>
      <c r="B211"/>
      <c r="C211"/>
      <c r="D211"/>
      <c r="E211"/>
      <c r="F211"/>
      <c r="G211"/>
      <c r="H211"/>
    </row>
    <row r="212" spans="1:8" ht="18" customHeight="1">
      <c r="A212"/>
      <c r="B212"/>
      <c r="C212"/>
      <c r="D212"/>
      <c r="E212"/>
      <c r="F212"/>
      <c r="G212"/>
      <c r="H212"/>
    </row>
    <row r="213" spans="1:8" ht="18" customHeight="1">
      <c r="A213"/>
      <c r="B213"/>
      <c r="C213"/>
      <c r="D213"/>
      <c r="E213"/>
      <c r="F213"/>
      <c r="G213"/>
      <c r="H213"/>
    </row>
    <row r="214" spans="1:8" ht="18" customHeight="1">
      <c r="A214"/>
      <c r="B214"/>
      <c r="C214"/>
      <c r="D214"/>
      <c r="E214"/>
      <c r="F214"/>
      <c r="G214"/>
      <c r="H214"/>
    </row>
    <row r="215" spans="1:8" ht="18" customHeight="1">
      <c r="A215"/>
      <c r="B215"/>
      <c r="C215"/>
      <c r="D215"/>
      <c r="E215"/>
      <c r="F215"/>
      <c r="G215"/>
      <c r="H215"/>
    </row>
    <row r="216" spans="1:8" ht="18" customHeight="1">
      <c r="A216"/>
      <c r="B216"/>
      <c r="C216"/>
      <c r="D216"/>
      <c r="E216"/>
      <c r="F216"/>
      <c r="G216"/>
      <c r="H216"/>
    </row>
    <row r="217" spans="1:8" ht="18" customHeight="1">
      <c r="A217"/>
      <c r="B217"/>
      <c r="C217"/>
      <c r="D217"/>
      <c r="E217"/>
      <c r="F217"/>
      <c r="G217"/>
      <c r="H217"/>
    </row>
    <row r="218" spans="1:8" ht="18" customHeight="1">
      <c r="A218"/>
      <c r="B218"/>
      <c r="C218"/>
      <c r="D218"/>
      <c r="E218"/>
      <c r="F218"/>
      <c r="G218"/>
      <c r="H218"/>
    </row>
    <row r="219" spans="1:8" ht="18" customHeight="1">
      <c r="A219"/>
      <c r="B219"/>
      <c r="C219"/>
      <c r="D219"/>
      <c r="E219"/>
      <c r="F219"/>
      <c r="G219"/>
      <c r="H219"/>
    </row>
    <row r="220" spans="1:8" ht="18" customHeight="1">
      <c r="A220"/>
      <c r="B220"/>
      <c r="C220"/>
      <c r="D220"/>
      <c r="E220"/>
      <c r="F220"/>
      <c r="G220"/>
      <c r="H220"/>
    </row>
    <row r="221" spans="1:8" ht="18" customHeight="1">
      <c r="A221"/>
      <c r="B221"/>
      <c r="C221"/>
      <c r="D221"/>
      <c r="E221"/>
      <c r="F221"/>
      <c r="G221"/>
      <c r="H221"/>
    </row>
    <row r="222" spans="1:8" ht="18" customHeight="1">
      <c r="A222"/>
      <c r="B222"/>
      <c r="C222"/>
      <c r="D222"/>
      <c r="E222"/>
      <c r="F222"/>
      <c r="G222"/>
      <c r="H222"/>
    </row>
    <row r="223" spans="1:8" ht="18" customHeight="1">
      <c r="A223"/>
      <c r="B223"/>
      <c r="C223"/>
      <c r="D223"/>
      <c r="E223"/>
      <c r="F223"/>
      <c r="G223"/>
      <c r="H223"/>
    </row>
    <row r="224" spans="1:8" ht="18" customHeight="1">
      <c r="A224"/>
      <c r="B224"/>
      <c r="C224"/>
      <c r="D224"/>
      <c r="E224"/>
      <c r="F224"/>
      <c r="G224"/>
      <c r="H224"/>
    </row>
    <row r="225" spans="1:8" ht="18" customHeight="1">
      <c r="A225"/>
      <c r="B225"/>
      <c r="C225"/>
      <c r="D225"/>
      <c r="E225"/>
      <c r="F225"/>
      <c r="G225"/>
      <c r="H225"/>
    </row>
    <row r="226" spans="1:8" ht="18" customHeight="1">
      <c r="A226"/>
      <c r="B226"/>
      <c r="C226"/>
      <c r="D226"/>
      <c r="E226"/>
      <c r="F226"/>
      <c r="G226"/>
      <c r="H226"/>
    </row>
    <row r="227" spans="1:8" ht="18" customHeight="1">
      <c r="A227"/>
      <c r="B227"/>
      <c r="C227"/>
      <c r="D227"/>
      <c r="E227"/>
      <c r="F227"/>
      <c r="G227"/>
      <c r="H227"/>
    </row>
    <row r="228" spans="1:8" ht="18" customHeight="1">
      <c r="A228"/>
      <c r="B228"/>
      <c r="C228"/>
      <c r="D228"/>
      <c r="E228"/>
      <c r="F228"/>
      <c r="G228"/>
      <c r="H228"/>
    </row>
    <row r="229" spans="1:8" ht="18" customHeight="1">
      <c r="A229"/>
      <c r="B229"/>
      <c r="C229"/>
      <c r="D229"/>
      <c r="E229"/>
      <c r="F229"/>
      <c r="G229"/>
      <c r="H229"/>
    </row>
    <row r="230" spans="1:8" ht="18" customHeight="1">
      <c r="A230"/>
      <c r="B230"/>
      <c r="C230"/>
      <c r="D230"/>
      <c r="E230"/>
      <c r="F230"/>
      <c r="G230"/>
      <c r="H230"/>
    </row>
    <row r="231" spans="1:8" ht="18" customHeight="1">
      <c r="A231"/>
      <c r="B231"/>
      <c r="C231"/>
      <c r="D231"/>
      <c r="E231"/>
      <c r="F231"/>
      <c r="G231"/>
      <c r="H231"/>
    </row>
    <row r="232" spans="1:8" ht="18" customHeight="1">
      <c r="A232"/>
      <c r="B232"/>
      <c r="C232"/>
      <c r="D232"/>
      <c r="E232"/>
      <c r="F232"/>
      <c r="G232"/>
      <c r="H232"/>
    </row>
    <row r="233" spans="1:8" ht="18" customHeight="1">
      <c r="A233"/>
      <c r="B233"/>
      <c r="C233"/>
      <c r="D233"/>
      <c r="E233"/>
      <c r="F233"/>
      <c r="G233"/>
      <c r="H233"/>
    </row>
  </sheetData>
  <mergeCells count="8">
    <mergeCell ref="B51:E52"/>
    <mergeCell ref="F51:F52"/>
    <mergeCell ref="H51:H52"/>
    <mergeCell ref="B1:H1"/>
    <mergeCell ref="B7:E8"/>
    <mergeCell ref="F7:F8"/>
    <mergeCell ref="H7:H8"/>
    <mergeCell ref="B45:H45"/>
  </mergeCells>
  <pageMargins left="0.7" right="0.45" top="0.5" bottom="0.5" header="0.3" footer="0.3"/>
  <pageSetup paperSize="256" scale="90" orientation="portrait" horizontalDpi="4294967293" verticalDpi="0" r:id="rId1"/>
  <headerFooter>
    <oddHeader>Page &amp;P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B1:T94"/>
  <sheetViews>
    <sheetView workbookViewId="0">
      <selection activeCell="N94" sqref="N94"/>
    </sheetView>
  </sheetViews>
  <sheetFormatPr defaultRowHeight="15"/>
  <cols>
    <col min="1" max="1" width="2.7109375" customWidth="1"/>
    <col min="2" max="4" width="4.5703125" customWidth="1"/>
    <col min="5" max="5" width="4.42578125" customWidth="1"/>
    <col min="6" max="6" width="20.42578125" customWidth="1"/>
    <col min="8" max="8" width="22.42578125" customWidth="1"/>
    <col min="9" max="9" width="13.5703125" customWidth="1"/>
    <col min="10" max="10" width="9.5703125" customWidth="1"/>
    <col min="12" max="12" width="12.7109375" bestFit="1" customWidth="1"/>
    <col min="13" max="14" width="11.140625" bestFit="1" customWidth="1"/>
    <col min="15" max="15" width="5.42578125" customWidth="1"/>
    <col min="16" max="16" width="6.140625" customWidth="1"/>
    <col min="17" max="17" width="5.28515625" customWidth="1"/>
    <col min="18" max="18" width="13" customWidth="1"/>
    <col min="19" max="19" width="11.85546875" customWidth="1"/>
    <col min="20" max="20" width="11.5703125" customWidth="1"/>
  </cols>
  <sheetData>
    <row r="1" spans="2:20" ht="20.100000000000001" customHeight="1">
      <c r="B1" s="862" t="s">
        <v>975</v>
      </c>
      <c r="C1" s="862"/>
      <c r="D1" s="862"/>
      <c r="E1" s="862"/>
      <c r="F1" s="862"/>
      <c r="G1" s="862"/>
      <c r="H1" s="862"/>
      <c r="I1" s="862"/>
      <c r="J1" s="862"/>
    </row>
    <row r="2" spans="2:20" ht="20.100000000000001" customHeight="1">
      <c r="B2" s="312" t="s">
        <v>546</v>
      </c>
      <c r="C2" s="312"/>
      <c r="D2" s="312"/>
      <c r="E2" s="312"/>
      <c r="F2" s="313"/>
      <c r="G2" s="315" t="s">
        <v>548</v>
      </c>
      <c r="H2" s="313"/>
      <c r="I2" s="314"/>
      <c r="J2" s="313"/>
    </row>
    <row r="3" spans="2:20" ht="20.100000000000001" customHeight="1">
      <c r="B3" s="312" t="s">
        <v>547</v>
      </c>
      <c r="C3" s="312"/>
      <c r="D3" s="312"/>
      <c r="E3" s="312"/>
      <c r="F3" s="313"/>
      <c r="G3" s="315" t="s">
        <v>548</v>
      </c>
      <c r="H3" s="313"/>
      <c r="I3" s="314"/>
      <c r="J3" s="313"/>
    </row>
    <row r="4" spans="2:20" ht="5.25" customHeight="1">
      <c r="B4" s="312"/>
      <c r="C4" s="312"/>
      <c r="D4" s="312"/>
      <c r="E4" s="312"/>
      <c r="F4" s="313"/>
      <c r="G4" s="315"/>
      <c r="H4" s="313"/>
      <c r="I4" s="314"/>
      <c r="J4" s="313"/>
    </row>
    <row r="5" spans="2:20" ht="20.100000000000001" customHeight="1">
      <c r="B5" s="312" t="s">
        <v>556</v>
      </c>
      <c r="C5" s="312"/>
      <c r="D5" s="312"/>
      <c r="E5" s="312"/>
      <c r="F5" s="313"/>
      <c r="G5" s="315" t="s">
        <v>222</v>
      </c>
      <c r="H5" s="327">
        <v>236787000</v>
      </c>
      <c r="I5" s="314"/>
      <c r="J5" s="313"/>
    </row>
    <row r="6" spans="2:20" ht="7.5" customHeight="1">
      <c r="B6" s="301"/>
      <c r="C6" s="318"/>
      <c r="D6" s="318"/>
      <c r="E6" s="301"/>
      <c r="F6" s="29"/>
      <c r="G6" s="29"/>
      <c r="H6" s="29"/>
      <c r="I6" s="32"/>
      <c r="J6" s="29"/>
    </row>
    <row r="7" spans="2:20">
      <c r="B7" s="1020" t="s">
        <v>260</v>
      </c>
      <c r="C7" s="1021"/>
      <c r="D7" s="1021"/>
      <c r="E7" s="1022"/>
      <c r="F7" s="1026" t="s">
        <v>549</v>
      </c>
      <c r="G7" s="1026"/>
      <c r="H7" s="1026"/>
      <c r="I7" s="310" t="s">
        <v>59</v>
      </c>
      <c r="J7" s="1027" t="s">
        <v>550</v>
      </c>
    </row>
    <row r="8" spans="2:20">
      <c r="B8" s="1023"/>
      <c r="C8" s="1024"/>
      <c r="D8" s="1024"/>
      <c r="E8" s="1025"/>
      <c r="F8" s="1026"/>
      <c r="G8" s="1026"/>
      <c r="H8" s="1026"/>
      <c r="I8" s="311" t="s">
        <v>247</v>
      </c>
      <c r="J8" s="1028"/>
    </row>
    <row r="9" spans="2:20" ht="18" customHeight="1">
      <c r="B9" s="319">
        <v>1</v>
      </c>
      <c r="C9" s="324"/>
      <c r="D9" s="324"/>
      <c r="E9" s="324"/>
      <c r="F9" s="1031" t="s">
        <v>554</v>
      </c>
      <c r="G9" s="897"/>
      <c r="H9" s="898"/>
      <c r="I9" s="309">
        <f>SUM(I10:I17)</f>
        <v>0</v>
      </c>
      <c r="J9" s="27"/>
    </row>
    <row r="10" spans="2:20" ht="18" customHeight="1">
      <c r="B10" s="324"/>
      <c r="C10" s="324"/>
      <c r="D10" s="324"/>
      <c r="E10" s="328"/>
      <c r="F10" s="870" t="s">
        <v>557</v>
      </c>
      <c r="G10" s="842"/>
      <c r="H10" s="843"/>
      <c r="I10" s="179"/>
      <c r="J10" s="27"/>
    </row>
    <row r="11" spans="2:20" ht="18" customHeight="1">
      <c r="B11" s="324"/>
      <c r="C11" s="324"/>
      <c r="D11" s="324"/>
      <c r="E11" s="328"/>
      <c r="F11" s="870" t="s">
        <v>81</v>
      </c>
      <c r="G11" s="842"/>
      <c r="H11" s="843"/>
      <c r="I11" s="179">
        <v>0</v>
      </c>
      <c r="J11" s="27"/>
    </row>
    <row r="12" spans="2:20" ht="18" customHeight="1">
      <c r="B12" s="324"/>
      <c r="C12" s="324"/>
      <c r="D12" s="324"/>
      <c r="E12" s="328"/>
      <c r="F12" s="870" t="s">
        <v>558</v>
      </c>
      <c r="G12" s="842"/>
      <c r="H12" s="843"/>
      <c r="I12" s="179">
        <v>0</v>
      </c>
      <c r="J12" s="27"/>
    </row>
    <row r="13" spans="2:20" ht="18" customHeight="1">
      <c r="B13" s="324"/>
      <c r="C13" s="324"/>
      <c r="D13" s="324"/>
      <c r="E13" s="328"/>
      <c r="F13" s="870" t="s">
        <v>559</v>
      </c>
      <c r="G13" s="842"/>
      <c r="H13" s="843"/>
      <c r="I13" s="179"/>
      <c r="J13" s="27"/>
    </row>
    <row r="14" spans="2:20" ht="18" customHeight="1">
      <c r="B14" s="324"/>
      <c r="C14" s="324"/>
      <c r="D14" s="324"/>
      <c r="E14" s="328"/>
      <c r="F14" s="302" t="e">
        <f>APBDes2017!#REF!</f>
        <v>#REF!</v>
      </c>
      <c r="G14" s="299"/>
      <c r="H14" s="300"/>
      <c r="I14" s="179">
        <v>0</v>
      </c>
      <c r="J14" s="27"/>
    </row>
    <row r="15" spans="2:20" ht="18" customHeight="1">
      <c r="B15" s="319"/>
      <c r="C15" s="324"/>
      <c r="D15" s="324"/>
      <c r="E15" s="324"/>
      <c r="F15" s="851" t="e">
        <f>APBDes2017!#REF!</f>
        <v>#REF!</v>
      </c>
      <c r="G15" s="1013"/>
      <c r="H15" s="1014"/>
      <c r="I15" s="179">
        <v>0</v>
      </c>
      <c r="J15" s="27"/>
      <c r="T15" s="111">
        <f>SUM(S9:S15)</f>
        <v>0</v>
      </c>
    </row>
    <row r="16" spans="2:20" ht="18" customHeight="1">
      <c r="B16" s="324"/>
      <c r="C16" s="324"/>
      <c r="D16" s="324"/>
      <c r="E16" s="324"/>
      <c r="F16" s="842" t="e">
        <f>APBDes2017!#REF!</f>
        <v>#REF!</v>
      </c>
      <c r="G16" s="842"/>
      <c r="H16" s="843"/>
      <c r="I16" s="179">
        <v>0</v>
      </c>
      <c r="J16" s="27"/>
    </row>
    <row r="17" spans="2:10" ht="18" customHeight="1">
      <c r="B17" s="324"/>
      <c r="C17" s="324"/>
      <c r="D17" s="324"/>
      <c r="E17" s="324"/>
      <c r="F17" s="851" t="s">
        <v>135</v>
      </c>
      <c r="G17" s="1013"/>
      <c r="H17" s="1014"/>
      <c r="I17" s="179">
        <v>0</v>
      </c>
      <c r="J17" s="27"/>
    </row>
    <row r="18" spans="2:10" ht="18" customHeight="1">
      <c r="B18" s="324"/>
      <c r="C18" s="324"/>
      <c r="D18" s="324"/>
      <c r="E18" s="324"/>
      <c r="F18" s="846" t="s">
        <v>59</v>
      </c>
      <c r="G18" s="1015"/>
      <c r="H18" s="1016"/>
      <c r="I18" s="55">
        <f>SUM(I9)</f>
        <v>0</v>
      </c>
      <c r="J18" s="27"/>
    </row>
    <row r="19" spans="2:10" ht="15" customHeight="1">
      <c r="B19" s="301"/>
      <c r="C19" s="318"/>
      <c r="D19" s="318"/>
      <c r="E19" s="301"/>
      <c r="F19" s="29"/>
      <c r="G19" s="29"/>
      <c r="H19" s="329"/>
      <c r="I19" s="353" t="s">
        <v>589</v>
      </c>
      <c r="J19" s="353"/>
    </row>
    <row r="20" spans="2:10" ht="15" customHeight="1">
      <c r="B20" s="301"/>
      <c r="C20" s="318"/>
      <c r="D20" s="318"/>
      <c r="E20" s="301"/>
      <c r="F20" s="29"/>
      <c r="G20" s="29"/>
      <c r="H20" s="329"/>
      <c r="I20" s="353" t="s">
        <v>50</v>
      </c>
      <c r="J20" s="353"/>
    </row>
    <row r="21" spans="2:10" ht="15" customHeight="1">
      <c r="B21" s="301"/>
      <c r="C21" s="318"/>
      <c r="D21" s="318"/>
      <c r="E21" s="301"/>
      <c r="F21" s="29"/>
      <c r="G21" s="29"/>
      <c r="H21" s="329"/>
      <c r="I21" s="354"/>
      <c r="J21" s="355"/>
    </row>
    <row r="22" spans="2:10" ht="15" customHeight="1">
      <c r="B22" s="301"/>
      <c r="C22" s="318"/>
      <c r="D22" s="318"/>
      <c r="E22" s="301"/>
      <c r="F22" s="29"/>
      <c r="G22" s="29"/>
      <c r="H22" s="329"/>
      <c r="I22" s="354"/>
      <c r="J22" s="355"/>
    </row>
    <row r="23" spans="2:10" ht="15" customHeight="1">
      <c r="B23" s="301"/>
      <c r="C23" s="318"/>
      <c r="D23" s="318"/>
      <c r="E23" s="301"/>
      <c r="F23" s="29"/>
      <c r="G23" s="29"/>
      <c r="H23" s="329"/>
      <c r="I23" s="354"/>
      <c r="J23" s="355"/>
    </row>
    <row r="24" spans="2:10" ht="15" customHeight="1">
      <c r="B24" s="301"/>
      <c r="C24" s="318"/>
      <c r="D24" s="318"/>
      <c r="E24" s="301"/>
      <c r="F24" s="29"/>
      <c r="G24" s="29"/>
      <c r="H24" s="329"/>
      <c r="I24" s="354"/>
      <c r="J24" s="355"/>
    </row>
    <row r="25" spans="2:10" ht="15.75" customHeight="1">
      <c r="B25" s="301"/>
      <c r="C25" s="318"/>
      <c r="D25" s="318"/>
      <c r="E25" s="301"/>
      <c r="F25" s="29"/>
      <c r="G25" s="29"/>
      <c r="H25" s="329"/>
      <c r="I25" s="4"/>
      <c r="J25" s="270" t="s">
        <v>51</v>
      </c>
    </row>
    <row r="26" spans="2:10" ht="15" customHeight="1"/>
    <row r="27" spans="2:10" ht="15" customHeight="1"/>
    <row r="28" spans="2:10" ht="15" customHeight="1"/>
    <row r="29" spans="2:10" ht="15" customHeight="1"/>
    <row r="30" spans="2:10" ht="15" customHeight="1"/>
    <row r="31" spans="2:10" ht="15" customHeight="1"/>
    <row r="32" spans="2:10" ht="15" customHeight="1"/>
    <row r="33" spans="2:20" ht="15" customHeight="1"/>
    <row r="34" spans="2:20" ht="15" customHeight="1"/>
    <row r="36" spans="2:20">
      <c r="B36" s="862" t="s">
        <v>555</v>
      </c>
      <c r="C36" s="862"/>
      <c r="D36" s="862"/>
      <c r="E36" s="862"/>
      <c r="F36" s="862"/>
      <c r="G36" s="862"/>
      <c r="H36" s="862"/>
      <c r="I36" s="862"/>
      <c r="J36" s="862"/>
      <c r="T36" s="111">
        <f>SUM(S17:S36)</f>
        <v>0</v>
      </c>
    </row>
    <row r="37" spans="2:20">
      <c r="B37" s="312" t="s">
        <v>546</v>
      </c>
      <c r="C37" s="312"/>
      <c r="D37" s="312"/>
      <c r="E37" s="312"/>
      <c r="F37" s="313"/>
      <c r="G37" s="315" t="s">
        <v>548</v>
      </c>
      <c r="H37" s="313"/>
      <c r="I37" s="314"/>
      <c r="J37" s="313"/>
    </row>
    <row r="38" spans="2:20">
      <c r="B38" s="312" t="s">
        <v>547</v>
      </c>
      <c r="C38" s="312"/>
      <c r="D38" s="312"/>
      <c r="E38" s="312"/>
      <c r="F38" s="313"/>
      <c r="G38" s="315" t="s">
        <v>548</v>
      </c>
      <c r="H38" s="313"/>
      <c r="I38" s="314"/>
      <c r="J38" s="313"/>
    </row>
    <row r="39" spans="2:20">
      <c r="B39" s="312" t="s">
        <v>579</v>
      </c>
      <c r="C39" s="312"/>
      <c r="D39" s="312"/>
      <c r="E39" s="312"/>
      <c r="F39" s="313"/>
      <c r="G39" s="315" t="s">
        <v>580</v>
      </c>
      <c r="H39" s="313"/>
      <c r="I39" s="314"/>
      <c r="J39" s="313"/>
    </row>
    <row r="40" spans="2:20">
      <c r="B40" s="312" t="s">
        <v>556</v>
      </c>
      <c r="C40" s="312"/>
      <c r="D40" s="312"/>
      <c r="E40" s="312"/>
      <c r="F40" s="313"/>
      <c r="G40" s="315" t="s">
        <v>222</v>
      </c>
      <c r="H40" s="327">
        <f>'% APBDes'!D11</f>
        <v>236644620</v>
      </c>
      <c r="I40" s="314"/>
      <c r="J40" s="313"/>
    </row>
    <row r="41" spans="2:20">
      <c r="B41" s="325"/>
      <c r="C41" s="325"/>
      <c r="D41" s="325"/>
      <c r="E41" s="325"/>
      <c r="F41" s="29"/>
      <c r="G41" s="29"/>
      <c r="H41" s="29"/>
      <c r="I41" s="32"/>
      <c r="J41" s="29"/>
    </row>
    <row r="42" spans="2:20">
      <c r="B42" s="1020" t="s">
        <v>260</v>
      </c>
      <c r="C42" s="1021"/>
      <c r="D42" s="1021"/>
      <c r="E42" s="1022"/>
      <c r="F42" s="1026" t="s">
        <v>549</v>
      </c>
      <c r="G42" s="1026"/>
      <c r="H42" s="1026"/>
      <c r="I42" s="310" t="s">
        <v>59</v>
      </c>
      <c r="J42" s="1027" t="s">
        <v>550</v>
      </c>
    </row>
    <row r="43" spans="2:20">
      <c r="B43" s="1023"/>
      <c r="C43" s="1024"/>
      <c r="D43" s="1024"/>
      <c r="E43" s="1025"/>
      <c r="F43" s="1026"/>
      <c r="G43" s="1026"/>
      <c r="H43" s="1026"/>
      <c r="I43" s="311" t="s">
        <v>247</v>
      </c>
      <c r="J43" s="1028"/>
    </row>
    <row r="44" spans="2:20" ht="18" customHeight="1">
      <c r="B44" s="326">
        <v>2</v>
      </c>
      <c r="C44" s="359">
        <v>1</v>
      </c>
      <c r="D44" s="324"/>
      <c r="E44" s="324"/>
      <c r="F44" s="1031" t="s">
        <v>554</v>
      </c>
      <c r="G44" s="897"/>
      <c r="H44" s="898"/>
      <c r="I44" s="309">
        <f>SUM(I45:I53)</f>
        <v>0</v>
      </c>
      <c r="J44" s="27"/>
      <c r="L44" s="111"/>
    </row>
    <row r="45" spans="2:20" ht="18" customHeight="1">
      <c r="B45" s="326">
        <v>2</v>
      </c>
      <c r="C45" s="359">
        <v>1</v>
      </c>
      <c r="D45" s="359">
        <v>1</v>
      </c>
      <c r="E45" s="324"/>
      <c r="F45" s="870" t="str">
        <f>APBDes2017!G48</f>
        <v>Belanja Pegawai dan tunjangan</v>
      </c>
      <c r="G45" s="842"/>
      <c r="H45" s="843"/>
      <c r="I45" s="179"/>
      <c r="J45" s="27"/>
      <c r="L45" s="111"/>
    </row>
    <row r="46" spans="2:20" ht="18" customHeight="1">
      <c r="B46" s="324"/>
      <c r="C46" s="324"/>
      <c r="D46" s="324"/>
      <c r="E46" s="328"/>
      <c r="F46" s="870" t="str">
        <f>APBDes2017!G49</f>
        <v>Penghasilan Tetap Kepala Desa dan Perangkat</v>
      </c>
      <c r="G46" s="842"/>
      <c r="H46" s="843"/>
      <c r="I46" s="179"/>
      <c r="J46" s="27"/>
      <c r="L46" s="111"/>
    </row>
    <row r="47" spans="2:20" ht="18" customHeight="1">
      <c r="B47" s="324"/>
      <c r="C47" s="324"/>
      <c r="D47" s="324"/>
      <c r="E47" s="328"/>
      <c r="F47" s="870" t="s">
        <v>81</v>
      </c>
      <c r="G47" s="842"/>
      <c r="H47" s="843"/>
      <c r="I47" s="179"/>
      <c r="J47" s="27"/>
      <c r="L47" s="111"/>
    </row>
    <row r="48" spans="2:20" ht="18" customHeight="1">
      <c r="B48" s="324"/>
      <c r="C48" s="324"/>
      <c r="D48" s="324"/>
      <c r="E48" s="328"/>
      <c r="F48" s="870" t="s">
        <v>558</v>
      </c>
      <c r="G48" s="842"/>
      <c r="H48" s="843"/>
      <c r="I48" s="179"/>
      <c r="J48" s="27"/>
    </row>
    <row r="49" spans="2:13" ht="18" customHeight="1">
      <c r="B49" s="324"/>
      <c r="C49" s="324"/>
      <c r="D49" s="324"/>
      <c r="E49" s="328"/>
      <c r="F49" s="870" t="s">
        <v>559</v>
      </c>
      <c r="G49" s="842"/>
      <c r="H49" s="843"/>
      <c r="I49" s="179"/>
      <c r="J49" s="27"/>
    </row>
    <row r="50" spans="2:13" ht="18" customHeight="1">
      <c r="B50" s="324"/>
      <c r="C50" s="324"/>
      <c r="D50" s="324"/>
      <c r="E50" s="328"/>
      <c r="F50" s="870" t="e">
        <f>APBDes2017!#REF!</f>
        <v>#REF!</v>
      </c>
      <c r="G50" s="842"/>
      <c r="H50" s="843"/>
      <c r="I50" s="179"/>
      <c r="J50" s="27"/>
    </row>
    <row r="51" spans="2:13" ht="18" customHeight="1">
      <c r="B51" s="326"/>
      <c r="C51" s="324"/>
      <c r="D51" s="324"/>
      <c r="E51" s="324"/>
      <c r="F51" s="851" t="e">
        <f>APBDes2017!#REF!</f>
        <v>#REF!</v>
      </c>
      <c r="G51" s="1013"/>
      <c r="H51" s="1014"/>
      <c r="I51" s="179"/>
      <c r="J51" s="27"/>
    </row>
    <row r="52" spans="2:13" ht="34.5" customHeight="1">
      <c r="B52" s="324"/>
      <c r="C52" s="324"/>
      <c r="D52" s="324"/>
      <c r="E52" s="324"/>
      <c r="F52" s="847" t="e">
        <f>APBDes2017!#REF!</f>
        <v>#REF!</v>
      </c>
      <c r="G52" s="890"/>
      <c r="H52" s="891"/>
      <c r="I52" s="360"/>
      <c r="J52" s="27"/>
    </row>
    <row r="53" spans="2:13" ht="18" customHeight="1">
      <c r="B53" s="324"/>
      <c r="C53" s="324"/>
      <c r="D53" s="324"/>
      <c r="E53" s="324"/>
      <c r="F53" s="851" t="e">
        <f>APBDes2017!#REF!</f>
        <v>#REF!</v>
      </c>
      <c r="G53" s="1013"/>
      <c r="H53" s="1014"/>
      <c r="I53" s="179"/>
      <c r="J53" s="27"/>
    </row>
    <row r="54" spans="2:13" ht="18" customHeight="1">
      <c r="B54" s="324"/>
      <c r="C54" s="324"/>
      <c r="D54" s="324"/>
      <c r="E54" s="324"/>
      <c r="F54" s="846" t="s">
        <v>59</v>
      </c>
      <c r="G54" s="1015"/>
      <c r="H54" s="1016"/>
      <c r="I54" s="55">
        <f>SUM(I44)</f>
        <v>0</v>
      </c>
      <c r="J54" s="27"/>
      <c r="K54" s="361"/>
      <c r="M54" s="111"/>
    </row>
    <row r="56" spans="2:13">
      <c r="B56" s="862" t="s">
        <v>555</v>
      </c>
      <c r="C56" s="862"/>
      <c r="D56" s="862"/>
      <c r="E56" s="862"/>
      <c r="F56" s="862"/>
      <c r="G56" s="862"/>
      <c r="H56" s="862"/>
      <c r="I56" s="862"/>
      <c r="J56" s="862"/>
    </row>
    <row r="57" spans="2:13">
      <c r="B57" s="312" t="s">
        <v>546</v>
      </c>
      <c r="C57" s="312"/>
      <c r="D57" s="312"/>
      <c r="E57" s="312"/>
      <c r="F57" s="313"/>
      <c r="G57" s="315" t="s">
        <v>548</v>
      </c>
      <c r="H57" s="313"/>
      <c r="I57" s="314"/>
      <c r="J57" s="313"/>
    </row>
    <row r="58" spans="2:13">
      <c r="B58" s="312" t="s">
        <v>547</v>
      </c>
      <c r="C58" s="312"/>
      <c r="D58" s="312"/>
      <c r="E58" s="312"/>
      <c r="F58" s="313"/>
      <c r="G58" s="315" t="s">
        <v>548</v>
      </c>
      <c r="H58" s="313"/>
      <c r="I58" s="314"/>
      <c r="J58" s="313"/>
    </row>
    <row r="59" spans="2:13">
      <c r="B59" s="312" t="s">
        <v>579</v>
      </c>
      <c r="C59" s="312"/>
      <c r="D59" s="312"/>
      <c r="E59" s="312"/>
      <c r="F59" s="313"/>
      <c r="G59" s="315" t="s">
        <v>590</v>
      </c>
      <c r="H59" s="313"/>
      <c r="I59" s="314"/>
      <c r="J59" s="313"/>
    </row>
    <row r="60" spans="2:13">
      <c r="B60" s="312" t="s">
        <v>556</v>
      </c>
      <c r="C60" s="312"/>
      <c r="D60" s="312"/>
      <c r="E60" s="312"/>
      <c r="F60" s="313"/>
      <c r="G60" s="315" t="s">
        <v>222</v>
      </c>
      <c r="H60" s="327">
        <v>157858000</v>
      </c>
      <c r="I60" s="314"/>
      <c r="J60" s="313"/>
    </row>
    <row r="61" spans="2:13">
      <c r="B61" s="415"/>
      <c r="C61" s="415"/>
      <c r="D61" s="415"/>
      <c r="E61" s="415"/>
      <c r="F61" s="29"/>
      <c r="G61" s="29"/>
      <c r="H61" s="29"/>
      <c r="I61" s="32"/>
      <c r="J61" s="29"/>
    </row>
    <row r="62" spans="2:13" ht="15" customHeight="1">
      <c r="B62" s="1020" t="s">
        <v>260</v>
      </c>
      <c r="C62" s="1021"/>
      <c r="D62" s="1021"/>
      <c r="E62" s="1022"/>
      <c r="F62" s="1026" t="s">
        <v>549</v>
      </c>
      <c r="G62" s="1026"/>
      <c r="H62" s="1026"/>
      <c r="I62" s="310" t="s">
        <v>59</v>
      </c>
      <c r="J62" s="1027" t="s">
        <v>550</v>
      </c>
    </row>
    <row r="63" spans="2:13">
      <c r="B63" s="1023"/>
      <c r="C63" s="1024"/>
      <c r="D63" s="1024"/>
      <c r="E63" s="1025"/>
      <c r="F63" s="1026"/>
      <c r="G63" s="1026"/>
      <c r="H63" s="1026"/>
      <c r="I63" s="311" t="s">
        <v>247</v>
      </c>
      <c r="J63" s="1028"/>
    </row>
    <row r="64" spans="2:13" ht="29.25" customHeight="1">
      <c r="B64" s="419">
        <v>2</v>
      </c>
      <c r="C64" s="419">
        <v>1</v>
      </c>
      <c r="D64" s="324"/>
      <c r="E64" s="324"/>
      <c r="F64" s="849" t="s">
        <v>20</v>
      </c>
      <c r="G64" s="1029"/>
      <c r="H64" s="1030"/>
      <c r="I64" s="309">
        <f>SUM(I65:I84)</f>
        <v>0</v>
      </c>
      <c r="J64" s="27"/>
      <c r="L64" s="422"/>
    </row>
    <row r="65" spans="2:10">
      <c r="B65" s="419">
        <v>2</v>
      </c>
      <c r="C65" s="419">
        <v>1</v>
      </c>
      <c r="D65" s="419">
        <v>1</v>
      </c>
      <c r="E65" s="324"/>
      <c r="F65" s="870" t="s">
        <v>21</v>
      </c>
      <c r="G65" s="842"/>
      <c r="H65" s="843"/>
      <c r="I65" s="179"/>
      <c r="J65" s="27"/>
    </row>
    <row r="66" spans="2:10">
      <c r="B66" s="324"/>
      <c r="C66" s="324"/>
      <c r="D66" s="324"/>
      <c r="E66" s="328"/>
      <c r="F66" s="870" t="s">
        <v>230</v>
      </c>
      <c r="G66" s="842"/>
      <c r="H66" s="843"/>
      <c r="I66" s="179"/>
      <c r="J66" s="27"/>
    </row>
    <row r="67" spans="2:10" ht="29.25" customHeight="1">
      <c r="B67" s="324"/>
      <c r="C67" s="324"/>
      <c r="D67" s="324"/>
      <c r="E67" s="328"/>
      <c r="F67" s="1017" t="s">
        <v>592</v>
      </c>
      <c r="G67" s="1018"/>
      <c r="H67" s="1019"/>
      <c r="I67" s="179"/>
      <c r="J67" s="27"/>
    </row>
    <row r="68" spans="2:10" ht="31.5" customHeight="1">
      <c r="B68" s="324"/>
      <c r="C68" s="324"/>
      <c r="D68" s="324"/>
      <c r="E68" s="328"/>
      <c r="F68" s="1017" t="s">
        <v>593</v>
      </c>
      <c r="G68" s="1018"/>
      <c r="H68" s="1019"/>
      <c r="I68" s="179"/>
      <c r="J68" s="27"/>
    </row>
    <row r="69" spans="2:10">
      <c r="B69" s="324"/>
      <c r="C69" s="324"/>
      <c r="D69" s="324"/>
      <c r="E69" s="328"/>
      <c r="F69" s="870" t="s">
        <v>196</v>
      </c>
      <c r="G69" s="842"/>
      <c r="H69" s="843"/>
      <c r="I69" s="179"/>
      <c r="J69" s="27"/>
    </row>
    <row r="70" spans="2:10" ht="18.75" customHeight="1">
      <c r="B70" s="324"/>
      <c r="C70" s="324"/>
      <c r="D70" s="324"/>
      <c r="E70" s="328"/>
      <c r="F70" s="847" t="s">
        <v>24</v>
      </c>
      <c r="G70" s="890"/>
      <c r="H70" s="891"/>
      <c r="I70" s="179"/>
      <c r="J70" s="27"/>
    </row>
    <row r="71" spans="2:10" ht="20.25" customHeight="1">
      <c r="B71" s="324"/>
      <c r="C71" s="324"/>
      <c r="D71" s="324"/>
      <c r="E71" s="328"/>
      <c r="F71" s="847" t="s">
        <v>231</v>
      </c>
      <c r="G71" s="890"/>
      <c r="H71" s="891"/>
      <c r="I71" s="179"/>
      <c r="J71" s="27"/>
    </row>
    <row r="72" spans="2:10" ht="19.5" customHeight="1">
      <c r="B72" s="324"/>
      <c r="C72" s="324"/>
      <c r="D72" s="324"/>
      <c r="E72" s="328"/>
      <c r="F72" s="847" t="s">
        <v>129</v>
      </c>
      <c r="G72" s="890"/>
      <c r="H72" s="891"/>
      <c r="I72" s="179"/>
      <c r="J72" s="27"/>
    </row>
    <row r="73" spans="2:10" ht="21" customHeight="1">
      <c r="B73" s="324"/>
      <c r="C73" s="324"/>
      <c r="D73" s="324"/>
      <c r="E73" s="328"/>
      <c r="F73" s="847" t="s">
        <v>74</v>
      </c>
      <c r="G73" s="890"/>
      <c r="H73" s="891"/>
      <c r="I73" s="179"/>
      <c r="J73" s="27"/>
    </row>
    <row r="74" spans="2:10" ht="21" customHeight="1">
      <c r="B74" s="324"/>
      <c r="C74" s="324"/>
      <c r="D74" s="324"/>
      <c r="E74" s="328"/>
      <c r="F74" s="847" t="s">
        <v>163</v>
      </c>
      <c r="G74" s="890"/>
      <c r="H74" s="891"/>
      <c r="I74" s="179"/>
      <c r="J74" s="27"/>
    </row>
    <row r="75" spans="2:10" ht="21" customHeight="1">
      <c r="B75" s="324">
        <v>2</v>
      </c>
      <c r="C75" s="324">
        <v>1</v>
      </c>
      <c r="D75" s="324">
        <v>2</v>
      </c>
      <c r="E75" s="328"/>
      <c r="F75" s="847" t="s">
        <v>594</v>
      </c>
      <c r="G75" s="890"/>
      <c r="H75" s="891"/>
      <c r="I75" s="179"/>
      <c r="J75" s="27"/>
    </row>
    <row r="76" spans="2:10" ht="21" customHeight="1">
      <c r="B76" s="324">
        <v>2</v>
      </c>
      <c r="C76" s="324">
        <v>1</v>
      </c>
      <c r="D76" s="324">
        <v>3</v>
      </c>
      <c r="E76" s="328"/>
      <c r="F76" s="847" t="s">
        <v>33</v>
      </c>
      <c r="G76" s="890"/>
      <c r="H76" s="891"/>
      <c r="I76" s="179"/>
      <c r="J76" s="27"/>
    </row>
    <row r="77" spans="2:10" ht="21" customHeight="1">
      <c r="B77" s="324">
        <v>2</v>
      </c>
      <c r="C77" s="324">
        <v>1</v>
      </c>
      <c r="D77" s="324">
        <v>4</v>
      </c>
      <c r="E77" s="328"/>
      <c r="F77" s="847" t="s">
        <v>168</v>
      </c>
      <c r="G77" s="890"/>
      <c r="H77" s="891"/>
      <c r="I77" s="179"/>
      <c r="J77" s="27"/>
    </row>
    <row r="78" spans="2:10" ht="21" customHeight="1">
      <c r="B78" s="324">
        <v>2</v>
      </c>
      <c r="C78" s="324">
        <v>1</v>
      </c>
      <c r="D78" s="324">
        <v>5</v>
      </c>
      <c r="E78" s="328"/>
      <c r="F78" s="847" t="s">
        <v>170</v>
      </c>
      <c r="G78" s="890"/>
      <c r="H78" s="891"/>
      <c r="I78" s="179"/>
      <c r="J78" s="27"/>
    </row>
    <row r="79" spans="2:10" ht="21" customHeight="1">
      <c r="B79" s="324">
        <v>2</v>
      </c>
      <c r="C79" s="324">
        <v>1</v>
      </c>
      <c r="D79" s="324">
        <v>6</v>
      </c>
      <c r="E79" s="328"/>
      <c r="F79" s="847" t="s">
        <v>133</v>
      </c>
      <c r="G79" s="890"/>
      <c r="H79" s="891"/>
      <c r="I79" s="179"/>
      <c r="J79" s="27"/>
    </row>
    <row r="80" spans="2:10" ht="29.25" customHeight="1">
      <c r="B80" s="324">
        <v>2</v>
      </c>
      <c r="C80" s="324">
        <v>1</v>
      </c>
      <c r="D80" s="324">
        <v>7</v>
      </c>
      <c r="E80" s="328"/>
      <c r="F80" s="847" t="s">
        <v>134</v>
      </c>
      <c r="G80" s="890"/>
      <c r="H80" s="891"/>
      <c r="I80" s="179"/>
      <c r="J80" s="27"/>
    </row>
    <row r="81" spans="2:14" ht="20.25" customHeight="1">
      <c r="B81" s="324">
        <v>2</v>
      </c>
      <c r="C81" s="324">
        <v>1</v>
      </c>
      <c r="D81" s="324">
        <v>8</v>
      </c>
      <c r="E81" s="328"/>
      <c r="F81" s="847" t="s">
        <v>135</v>
      </c>
      <c r="G81" s="890"/>
      <c r="H81" s="891"/>
      <c r="I81" s="179"/>
      <c r="J81" s="27"/>
    </row>
    <row r="82" spans="2:14" ht="19.5" customHeight="1">
      <c r="B82" s="419">
        <v>2</v>
      </c>
      <c r="C82" s="324">
        <v>2</v>
      </c>
      <c r="D82" s="324"/>
      <c r="E82" s="324"/>
      <c r="F82" s="851" t="s">
        <v>591</v>
      </c>
      <c r="G82" s="1013"/>
      <c r="H82" s="1014"/>
      <c r="I82" s="179"/>
      <c r="J82" s="27"/>
    </row>
    <row r="83" spans="2:14">
      <c r="B83" s="324">
        <v>2</v>
      </c>
      <c r="C83" s="324">
        <v>3</v>
      </c>
      <c r="D83" s="324"/>
      <c r="E83" s="324"/>
      <c r="F83" s="847" t="s">
        <v>38</v>
      </c>
      <c r="G83" s="890"/>
      <c r="H83" s="891"/>
      <c r="I83" s="360"/>
      <c r="J83" s="27"/>
    </row>
    <row r="84" spans="2:14">
      <c r="B84" s="324">
        <v>2</v>
      </c>
      <c r="C84" s="324">
        <v>4</v>
      </c>
      <c r="D84" s="324"/>
      <c r="E84" s="324"/>
      <c r="F84" s="851" t="s">
        <v>40</v>
      </c>
      <c r="G84" s="1013"/>
      <c r="H84" s="1014"/>
      <c r="I84" s="179"/>
      <c r="J84" s="27"/>
    </row>
    <row r="85" spans="2:14">
      <c r="B85" s="324"/>
      <c r="C85" s="324"/>
      <c r="D85" s="324"/>
      <c r="E85" s="324"/>
      <c r="F85" s="413"/>
      <c r="G85" s="414"/>
      <c r="H85" s="416"/>
      <c r="I85" s="179"/>
      <c r="J85" s="27"/>
    </row>
    <row r="86" spans="2:14">
      <c r="B86" s="324"/>
      <c r="C86" s="324"/>
      <c r="D86" s="324"/>
      <c r="E86" s="324"/>
      <c r="F86" s="413"/>
      <c r="G86" s="414"/>
      <c r="H86" s="416"/>
      <c r="I86" s="179"/>
      <c r="J86" s="27"/>
    </row>
    <row r="87" spans="2:14">
      <c r="B87" s="324"/>
      <c r="C87" s="324"/>
      <c r="D87" s="324"/>
      <c r="E87" s="324"/>
      <c r="F87" s="846" t="s">
        <v>59</v>
      </c>
      <c r="G87" s="1015"/>
      <c r="H87" s="1016"/>
      <c r="I87" s="55">
        <f>SUM(I64)</f>
        <v>0</v>
      </c>
      <c r="J87" s="27"/>
    </row>
    <row r="88" spans="2:14">
      <c r="B88" s="415"/>
      <c r="C88" s="415"/>
      <c r="D88" s="415"/>
      <c r="E88" s="415"/>
      <c r="F88" s="29"/>
      <c r="G88" s="29"/>
      <c r="H88" s="1012" t="s">
        <v>974</v>
      </c>
      <c r="I88" s="1012"/>
      <c r="J88" s="353"/>
      <c r="L88" s="111"/>
    </row>
    <row r="89" spans="2:14">
      <c r="B89" s="415"/>
      <c r="C89" s="415"/>
      <c r="D89" s="415"/>
      <c r="E89" s="415"/>
      <c r="F89" s="29"/>
      <c r="G89" s="29"/>
      <c r="H89" s="1011" t="s">
        <v>50</v>
      </c>
      <c r="I89" s="1011"/>
      <c r="J89" s="353"/>
      <c r="L89" s="111"/>
    </row>
    <row r="90" spans="2:14">
      <c r="B90" s="415"/>
      <c r="C90" s="415"/>
      <c r="D90" s="415"/>
      <c r="E90" s="415"/>
      <c r="F90" s="29"/>
      <c r="G90" s="29"/>
      <c r="H90" s="329"/>
      <c r="I90" s="354"/>
      <c r="J90" s="355"/>
      <c r="L90" s="111"/>
    </row>
    <row r="91" spans="2:14">
      <c r="B91" s="415"/>
      <c r="C91" s="415"/>
      <c r="D91" s="415"/>
      <c r="E91" s="415"/>
      <c r="F91" s="29"/>
      <c r="G91" s="29"/>
      <c r="H91" s="329"/>
      <c r="I91" s="354"/>
      <c r="J91" s="355"/>
      <c r="L91" s="111"/>
    </row>
    <row r="92" spans="2:14">
      <c r="B92" s="415"/>
      <c r="C92" s="415"/>
      <c r="D92" s="415"/>
      <c r="E92" s="415"/>
      <c r="F92" s="29"/>
      <c r="G92" s="29"/>
      <c r="H92" s="329"/>
      <c r="I92" s="354"/>
      <c r="J92" s="355"/>
      <c r="L92" s="111"/>
      <c r="M92" s="111"/>
      <c r="N92" s="111"/>
    </row>
    <row r="93" spans="2:14">
      <c r="B93" s="415"/>
      <c r="C93" s="415"/>
      <c r="D93" s="415"/>
      <c r="E93" s="415"/>
      <c r="F93" s="29"/>
      <c r="G93" s="29"/>
      <c r="H93" s="329"/>
      <c r="I93" s="354"/>
      <c r="J93" s="355"/>
    </row>
    <row r="94" spans="2:14" ht="15.75">
      <c r="B94" s="415"/>
      <c r="C94" s="415"/>
      <c r="D94" s="415"/>
      <c r="E94" s="415"/>
      <c r="F94" s="29"/>
      <c r="G94" s="29"/>
      <c r="I94" s="270" t="s">
        <v>51</v>
      </c>
    </row>
  </sheetData>
  <mergeCells count="56">
    <mergeCell ref="F18:H18"/>
    <mergeCell ref="F15:H15"/>
    <mergeCell ref="F16:H16"/>
    <mergeCell ref="F17:H17"/>
    <mergeCell ref="B1:J1"/>
    <mergeCell ref="B7:E8"/>
    <mergeCell ref="F7:H8"/>
    <mergeCell ref="J7:J8"/>
    <mergeCell ref="F9:H9"/>
    <mergeCell ref="F11:H11"/>
    <mergeCell ref="F13:H13"/>
    <mergeCell ref="F10:H10"/>
    <mergeCell ref="F12:H12"/>
    <mergeCell ref="B36:J36"/>
    <mergeCell ref="B42:E43"/>
    <mergeCell ref="F42:H43"/>
    <mergeCell ref="J42:J43"/>
    <mergeCell ref="F44:H44"/>
    <mergeCell ref="F52:H52"/>
    <mergeCell ref="F53:H53"/>
    <mergeCell ref="F54:H54"/>
    <mergeCell ref="F50:H50"/>
    <mergeCell ref="F45:H45"/>
    <mergeCell ref="F46:H46"/>
    <mergeCell ref="F47:H47"/>
    <mergeCell ref="F48:H48"/>
    <mergeCell ref="F49:H49"/>
    <mergeCell ref="F51:H51"/>
    <mergeCell ref="B56:J56"/>
    <mergeCell ref="B62:E63"/>
    <mergeCell ref="F62:H63"/>
    <mergeCell ref="J62:J63"/>
    <mergeCell ref="F64:H64"/>
    <mergeCell ref="F80:H80"/>
    <mergeCell ref="F81:H81"/>
    <mergeCell ref="F65:H65"/>
    <mergeCell ref="F66:H66"/>
    <mergeCell ref="F67:H67"/>
    <mergeCell ref="F68:H68"/>
    <mergeCell ref="F69:H69"/>
    <mergeCell ref="H89:I89"/>
    <mergeCell ref="H88:I88"/>
    <mergeCell ref="F70:H70"/>
    <mergeCell ref="F82:H82"/>
    <mergeCell ref="F83:H83"/>
    <mergeCell ref="F84:H84"/>
    <mergeCell ref="F87:H87"/>
    <mergeCell ref="F71:H71"/>
    <mergeCell ref="F72:H72"/>
    <mergeCell ref="F73:H73"/>
    <mergeCell ref="F74:H74"/>
    <mergeCell ref="F75:H75"/>
    <mergeCell ref="F76:H76"/>
    <mergeCell ref="F77:H77"/>
    <mergeCell ref="F78:H78"/>
    <mergeCell ref="F79:H79"/>
  </mergeCells>
  <pageMargins left="0.45" right="0.2" top="0.75" bottom="0.75" header="0.3" footer="0.3"/>
  <pageSetup paperSize="256" scale="95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B1:M29"/>
  <sheetViews>
    <sheetView workbookViewId="0">
      <selection activeCell="F15" sqref="F15:H15"/>
    </sheetView>
  </sheetViews>
  <sheetFormatPr defaultRowHeight="15"/>
  <cols>
    <col min="1" max="3" width="2.42578125" customWidth="1"/>
    <col min="4" max="4" width="3.42578125" customWidth="1"/>
    <col min="5" max="5" width="2.42578125" customWidth="1"/>
    <col min="6" max="6" width="21.85546875" customWidth="1"/>
    <col min="7" max="7" width="10.28515625" customWidth="1"/>
    <col min="8" max="8" width="19.85546875" customWidth="1"/>
    <col min="9" max="9" width="13.7109375" customWidth="1"/>
    <col min="12" max="12" width="11.140625" bestFit="1" customWidth="1"/>
    <col min="13" max="13" width="10.140625" bestFit="1" customWidth="1"/>
  </cols>
  <sheetData>
    <row r="1" spans="2:13">
      <c r="B1" s="862" t="s">
        <v>976</v>
      </c>
      <c r="C1" s="862"/>
      <c r="D1" s="862"/>
      <c r="E1" s="862"/>
      <c r="F1" s="862"/>
      <c r="G1" s="862"/>
      <c r="H1" s="862"/>
      <c r="I1" s="862"/>
      <c r="J1" s="862"/>
    </row>
    <row r="2" spans="2:13">
      <c r="B2" s="312" t="s">
        <v>546</v>
      </c>
      <c r="C2" s="312"/>
      <c r="D2" s="312"/>
      <c r="E2" s="312"/>
      <c r="F2" s="313"/>
      <c r="G2" s="315" t="s">
        <v>548</v>
      </c>
      <c r="H2" s="313"/>
      <c r="I2" s="314"/>
      <c r="J2" s="313"/>
    </row>
    <row r="3" spans="2:13">
      <c r="B3" s="312" t="s">
        <v>547</v>
      </c>
      <c r="C3" s="312"/>
      <c r="D3" s="312"/>
      <c r="E3" s="312"/>
      <c r="F3" s="313"/>
      <c r="G3" s="315" t="s">
        <v>548</v>
      </c>
      <c r="H3" s="313"/>
      <c r="I3" s="314"/>
      <c r="J3" s="313"/>
    </row>
    <row r="4" spans="2:13" ht="8.25" customHeight="1">
      <c r="B4" s="312"/>
      <c r="C4" s="312"/>
      <c r="D4" s="312"/>
      <c r="E4" s="312"/>
      <c r="F4" s="313"/>
      <c r="G4" s="315"/>
      <c r="H4" s="313"/>
      <c r="I4" s="314"/>
      <c r="J4" s="313"/>
    </row>
    <row r="5" spans="2:13">
      <c r="B5" s="312" t="s">
        <v>577</v>
      </c>
      <c r="C5" s="312"/>
      <c r="D5" s="312"/>
      <c r="E5" s="312"/>
      <c r="F5" s="313"/>
      <c r="G5" s="315" t="s">
        <v>222</v>
      </c>
      <c r="H5" s="327">
        <v>103300000</v>
      </c>
      <c r="I5" s="314"/>
      <c r="J5" s="313"/>
    </row>
    <row r="6" spans="2:13" ht="6.75" customHeight="1">
      <c r="B6" s="318"/>
      <c r="C6" s="318"/>
      <c r="D6" s="318"/>
      <c r="E6" s="318"/>
      <c r="F6" s="29"/>
      <c r="G6" s="29"/>
      <c r="H6" s="29"/>
      <c r="I6" s="32"/>
      <c r="J6" s="29"/>
    </row>
    <row r="7" spans="2:13">
      <c r="B7" s="1020" t="s">
        <v>260</v>
      </c>
      <c r="C7" s="1021"/>
      <c r="D7" s="1021"/>
      <c r="E7" s="1022"/>
      <c r="F7" s="1026" t="s">
        <v>549</v>
      </c>
      <c r="G7" s="1026"/>
      <c r="H7" s="1026"/>
      <c r="I7" s="310" t="s">
        <v>59</v>
      </c>
      <c r="J7" s="1027" t="s">
        <v>550</v>
      </c>
    </row>
    <row r="8" spans="2:13">
      <c r="B8" s="1023"/>
      <c r="C8" s="1024"/>
      <c r="D8" s="1024"/>
      <c r="E8" s="1025"/>
      <c r="F8" s="1026"/>
      <c r="G8" s="1026"/>
      <c r="H8" s="1026"/>
      <c r="I8" s="311" t="s">
        <v>247</v>
      </c>
      <c r="J8" s="1028"/>
    </row>
    <row r="9" spans="2:13">
      <c r="B9" s="319">
        <v>2</v>
      </c>
      <c r="C9" s="319">
        <v>1</v>
      </c>
      <c r="D9" s="319"/>
      <c r="E9" s="319"/>
      <c r="F9" s="1033" t="s">
        <v>578</v>
      </c>
      <c r="G9" s="1034"/>
      <c r="H9" s="1035"/>
      <c r="I9" s="357">
        <f>I10</f>
        <v>0</v>
      </c>
      <c r="J9" s="320"/>
    </row>
    <row r="10" spans="2:13">
      <c r="B10" s="319"/>
      <c r="C10" s="319"/>
      <c r="D10" s="319"/>
      <c r="E10" s="319"/>
      <c r="F10" s="1032"/>
      <c r="G10" s="864"/>
      <c r="H10" s="865"/>
      <c r="I10" s="356"/>
      <c r="J10" s="320"/>
    </row>
    <row r="11" spans="2:13" ht="18" customHeight="1">
      <c r="B11" s="319">
        <v>2</v>
      </c>
      <c r="C11" s="319">
        <v>2</v>
      </c>
      <c r="D11" s="324"/>
      <c r="E11" s="324"/>
      <c r="F11" s="1031" t="s">
        <v>575</v>
      </c>
      <c r="G11" s="897"/>
      <c r="H11" s="898"/>
      <c r="I11" s="309">
        <f>SUM(I12:I16)</f>
        <v>0</v>
      </c>
      <c r="J11" s="27"/>
    </row>
    <row r="12" spans="2:13" ht="18" customHeight="1">
      <c r="B12" s="324">
        <v>2</v>
      </c>
      <c r="C12" s="324">
        <v>2</v>
      </c>
      <c r="D12" s="324">
        <v>19</v>
      </c>
      <c r="E12" s="328"/>
      <c r="F12" s="1032"/>
      <c r="G12" s="864"/>
      <c r="H12" s="865"/>
      <c r="I12" s="179"/>
      <c r="J12" s="27"/>
    </row>
    <row r="13" spans="2:13" ht="18" customHeight="1">
      <c r="B13" s="324">
        <v>2</v>
      </c>
      <c r="C13" s="324">
        <v>2</v>
      </c>
      <c r="D13" s="324">
        <v>19</v>
      </c>
      <c r="E13" s="328"/>
      <c r="F13" s="851" t="e">
        <f>APBDes2017!#REF!</f>
        <v>#REF!</v>
      </c>
      <c r="G13" s="1013"/>
      <c r="H13" s="1014"/>
      <c r="I13" s="179"/>
      <c r="J13" s="27"/>
    </row>
    <row r="14" spans="2:13" ht="18" customHeight="1">
      <c r="B14" s="324">
        <v>2</v>
      </c>
      <c r="C14" s="324">
        <v>2</v>
      </c>
      <c r="D14" s="324">
        <v>20</v>
      </c>
      <c r="E14" s="328"/>
      <c r="F14" s="851" t="str">
        <f>APBDes2017!G89</f>
        <v>Pembangunan Sarana Prasarana Desa Lainnya</v>
      </c>
      <c r="G14" s="1013"/>
      <c r="H14" s="1014"/>
      <c r="I14" s="179"/>
      <c r="J14" s="27"/>
    </row>
    <row r="15" spans="2:13" ht="18" customHeight="1">
      <c r="B15" s="324">
        <v>2</v>
      </c>
      <c r="C15" s="324">
        <v>2</v>
      </c>
      <c r="D15" s="324">
        <v>52</v>
      </c>
      <c r="E15" s="328"/>
      <c r="F15" s="1032"/>
      <c r="G15" s="864"/>
      <c r="H15" s="865"/>
      <c r="I15" s="179"/>
      <c r="J15" s="27"/>
      <c r="M15" s="111"/>
    </row>
    <row r="16" spans="2:13" ht="18" customHeight="1">
      <c r="B16" s="324"/>
      <c r="C16" s="324"/>
      <c r="D16" s="324"/>
      <c r="E16" s="328"/>
      <c r="F16" s="870"/>
      <c r="G16" s="842"/>
      <c r="H16" s="843"/>
      <c r="I16" s="179"/>
      <c r="J16" s="27"/>
      <c r="L16" s="111"/>
    </row>
    <row r="17" spans="2:12" ht="18" customHeight="1">
      <c r="B17" s="319">
        <v>2</v>
      </c>
      <c r="C17" s="319">
        <v>3</v>
      </c>
      <c r="D17" s="324"/>
      <c r="E17" s="328"/>
      <c r="F17" s="1031" t="s">
        <v>576</v>
      </c>
      <c r="G17" s="897"/>
      <c r="H17" s="898"/>
      <c r="I17" s="309">
        <f>SUM(I18:I21)</f>
        <v>0</v>
      </c>
      <c r="J17" s="27"/>
    </row>
    <row r="18" spans="2:12" ht="18" customHeight="1">
      <c r="B18" s="324"/>
      <c r="C18" s="324"/>
      <c r="D18" s="324"/>
      <c r="E18" s="328"/>
      <c r="F18" s="851" t="str">
        <f>APBDes2017!G99</f>
        <v>Kegiatan Penyelenggaraan Keamanan dan Ketertiban</v>
      </c>
      <c r="G18" s="1013"/>
      <c r="H18" s="1014"/>
      <c r="I18" s="179"/>
      <c r="J18" s="27"/>
    </row>
    <row r="19" spans="2:12" ht="18" customHeight="1">
      <c r="B19" s="319"/>
      <c r="C19" s="324"/>
      <c r="D19" s="324"/>
      <c r="E19" s="324"/>
      <c r="F19" s="851" t="str">
        <f>APBDes2017!G102</f>
        <v>Penyelenggaraan PHBN</v>
      </c>
      <c r="G19" s="1013"/>
      <c r="H19" s="1014"/>
      <c r="I19" s="179"/>
      <c r="J19" s="27"/>
    </row>
    <row r="20" spans="2:12" ht="18" customHeight="1">
      <c r="B20" s="324"/>
      <c r="C20" s="324"/>
      <c r="D20" s="324"/>
      <c r="E20" s="324"/>
      <c r="F20" s="842"/>
      <c r="G20" s="842"/>
      <c r="H20" s="843"/>
      <c r="I20" s="179"/>
      <c r="J20" s="27"/>
      <c r="L20" s="111"/>
    </row>
    <row r="21" spans="2:12" ht="18" customHeight="1">
      <c r="B21" s="324"/>
      <c r="C21" s="324"/>
      <c r="D21" s="324"/>
      <c r="E21" s="324"/>
      <c r="F21" s="851"/>
      <c r="G21" s="1013"/>
      <c r="H21" s="1014"/>
      <c r="I21" s="179"/>
      <c r="J21" s="27"/>
      <c r="L21" s="111"/>
    </row>
    <row r="22" spans="2:12" ht="18" customHeight="1">
      <c r="B22" s="324"/>
      <c r="C22" s="324"/>
      <c r="D22" s="324"/>
      <c r="E22" s="324"/>
      <c r="F22" s="846" t="s">
        <v>59</v>
      </c>
      <c r="G22" s="1015"/>
      <c r="H22" s="1016"/>
      <c r="I22" s="55">
        <f>I9+I11+I17</f>
        <v>0</v>
      </c>
      <c r="J22" s="27"/>
      <c r="L22" s="111"/>
    </row>
    <row r="23" spans="2:12">
      <c r="B23" s="318"/>
      <c r="C23" s="318"/>
      <c r="D23" s="318"/>
      <c r="E23" s="318"/>
      <c r="F23" s="29"/>
      <c r="G23" s="29"/>
      <c r="H23" s="329"/>
      <c r="I23" s="353" t="s">
        <v>977</v>
      </c>
      <c r="J23" s="353"/>
      <c r="L23" s="111"/>
    </row>
    <row r="24" spans="2:12">
      <c r="B24" s="318"/>
      <c r="C24" s="318"/>
      <c r="D24" s="318"/>
      <c r="E24" s="318"/>
      <c r="F24" s="29"/>
      <c r="G24" s="29"/>
      <c r="H24" s="329"/>
      <c r="I24" s="353" t="s">
        <v>50</v>
      </c>
      <c r="J24" s="353"/>
    </row>
    <row r="25" spans="2:12">
      <c r="B25" s="318"/>
      <c r="C25" s="318"/>
      <c r="D25" s="318"/>
      <c r="E25" s="318"/>
      <c r="F25" s="29"/>
      <c r="G25" s="29"/>
      <c r="H25" s="329"/>
      <c r="I25" s="354"/>
      <c r="J25" s="355"/>
    </row>
    <row r="26" spans="2:12">
      <c r="B26" s="318"/>
      <c r="C26" s="318"/>
      <c r="D26" s="318"/>
      <c r="E26" s="318"/>
      <c r="F26" s="29"/>
      <c r="G26" s="29"/>
      <c r="H26" s="329"/>
      <c r="I26" s="354"/>
      <c r="J26" s="355"/>
    </row>
    <row r="27" spans="2:12">
      <c r="B27" s="318"/>
      <c r="C27" s="318"/>
      <c r="D27" s="318"/>
      <c r="E27" s="318"/>
      <c r="F27" s="29"/>
      <c r="G27" s="29"/>
      <c r="H27" s="329"/>
      <c r="I27" s="354"/>
      <c r="J27" s="355"/>
    </row>
    <row r="28" spans="2:12">
      <c r="B28" s="318"/>
      <c r="C28" s="318"/>
      <c r="D28" s="318"/>
      <c r="E28" s="318"/>
      <c r="F28" s="29"/>
      <c r="G28" s="29"/>
      <c r="H28" s="329"/>
      <c r="I28" s="354"/>
      <c r="J28" s="355"/>
    </row>
    <row r="29" spans="2:12" ht="15.75">
      <c r="B29" s="318"/>
      <c r="C29" s="318"/>
      <c r="D29" s="318"/>
      <c r="E29" s="318"/>
      <c r="F29" s="29"/>
      <c r="G29" s="29"/>
      <c r="H29" s="329"/>
      <c r="I29" s="4"/>
      <c r="J29" s="270" t="s">
        <v>51</v>
      </c>
    </row>
  </sheetData>
  <mergeCells count="18">
    <mergeCell ref="F22:H22"/>
    <mergeCell ref="F18:H18"/>
    <mergeCell ref="F15:H15"/>
    <mergeCell ref="F16:H16"/>
    <mergeCell ref="F13:H13"/>
    <mergeCell ref="F14:H14"/>
    <mergeCell ref="F17:H17"/>
    <mergeCell ref="F19:H19"/>
    <mergeCell ref="F20:H20"/>
    <mergeCell ref="F21:H21"/>
    <mergeCell ref="F12:H12"/>
    <mergeCell ref="F10:H10"/>
    <mergeCell ref="F9:H9"/>
    <mergeCell ref="B1:J1"/>
    <mergeCell ref="B7:E8"/>
    <mergeCell ref="F7:H8"/>
    <mergeCell ref="J7:J8"/>
    <mergeCell ref="F11:H11"/>
  </mergeCells>
  <pageMargins left="0.7" right="0.7" top="0.75" bottom="0.75" header="0.3" footer="0.3"/>
  <pageSetup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182"/>
  <sheetViews>
    <sheetView topLeftCell="A72" zoomScale="154" zoomScaleNormal="154" workbookViewId="0">
      <selection sqref="A1:K78"/>
    </sheetView>
  </sheetViews>
  <sheetFormatPr defaultRowHeight="12"/>
  <cols>
    <col min="1" max="2" width="2.28515625" style="689" customWidth="1"/>
    <col min="3" max="3" width="4" style="689" customWidth="1"/>
    <col min="4" max="4" width="2.28515625" style="689" customWidth="1"/>
    <col min="5" max="5" width="0.85546875" style="689" customWidth="1"/>
    <col min="6" max="6" width="24.7109375" style="742" customWidth="1"/>
    <col min="7" max="7" width="11.85546875" style="690" customWidth="1"/>
    <col min="8" max="8" width="9.5703125" style="692" customWidth="1"/>
    <col min="9" max="9" width="10.5703125" style="690" customWidth="1"/>
    <col min="10" max="10" width="10.28515625" style="690" customWidth="1"/>
    <col min="11" max="11" width="11.42578125" style="690" customWidth="1"/>
    <col min="12" max="12" width="15.140625" style="690" bestFit="1" customWidth="1"/>
    <col min="13" max="13" width="13.28515625" style="690" bestFit="1" customWidth="1"/>
    <col min="14" max="16384" width="9.140625" style="690"/>
  </cols>
  <sheetData>
    <row r="1" spans="1:12" ht="12.75" customHeight="1">
      <c r="E1" s="1036" t="s">
        <v>605</v>
      </c>
      <c r="F1" s="1036"/>
      <c r="G1" s="1036"/>
      <c r="H1" s="1036"/>
      <c r="I1" s="1036"/>
      <c r="J1" s="1036"/>
      <c r="K1" s="1036"/>
    </row>
    <row r="2" spans="1:12" ht="12" customHeight="1">
      <c r="E2" s="1036" t="s">
        <v>613</v>
      </c>
      <c r="F2" s="1036"/>
      <c r="G2" s="1036"/>
      <c r="H2" s="1036"/>
      <c r="I2" s="1036"/>
      <c r="J2" s="1036"/>
      <c r="K2" s="1036"/>
    </row>
    <row r="3" spans="1:12" ht="11.25" customHeight="1">
      <c r="E3" s="1036" t="s">
        <v>914</v>
      </c>
      <c r="F3" s="1036"/>
      <c r="G3" s="1036"/>
      <c r="H3" s="1036"/>
      <c r="I3" s="1036"/>
      <c r="J3" s="1036"/>
      <c r="K3" s="1036"/>
    </row>
    <row r="4" spans="1:12" ht="11.25" customHeight="1">
      <c r="E4" s="1036" t="s">
        <v>1008</v>
      </c>
      <c r="F4" s="1036"/>
      <c r="G4" s="1036"/>
      <c r="H4" s="1036"/>
      <c r="I4" s="1036"/>
      <c r="J4" s="1036"/>
      <c r="K4" s="1036"/>
    </row>
    <row r="5" spans="1:12" ht="6" customHeight="1">
      <c r="F5" s="731"/>
      <c r="G5" s="691"/>
      <c r="I5" s="691"/>
      <c r="J5" s="691"/>
      <c r="K5" s="691"/>
    </row>
    <row r="6" spans="1:12" ht="48.75" customHeight="1">
      <c r="A6" s="1038" t="s">
        <v>614</v>
      </c>
      <c r="B6" s="1039"/>
      <c r="C6" s="1039"/>
      <c r="D6" s="1039"/>
      <c r="E6" s="1040"/>
      <c r="F6" s="693" t="s">
        <v>0</v>
      </c>
      <c r="G6" s="694" t="s">
        <v>606</v>
      </c>
      <c r="H6" s="695" t="s">
        <v>607</v>
      </c>
      <c r="I6" s="695" t="s">
        <v>608</v>
      </c>
      <c r="J6" s="694" t="s">
        <v>609</v>
      </c>
      <c r="K6" s="694" t="s">
        <v>610</v>
      </c>
    </row>
    <row r="7" spans="1:12" ht="10.5" customHeight="1">
      <c r="A7" s="1038">
        <v>1</v>
      </c>
      <c r="B7" s="1039"/>
      <c r="C7" s="1039"/>
      <c r="D7" s="1039"/>
      <c r="E7" s="1040"/>
      <c r="F7" s="693">
        <v>2</v>
      </c>
      <c r="G7" s="696">
        <v>3</v>
      </c>
      <c r="H7" s="695">
        <v>4</v>
      </c>
      <c r="I7" s="696">
        <v>5</v>
      </c>
      <c r="J7" s="693">
        <v>6</v>
      </c>
      <c r="K7" s="696">
        <v>7</v>
      </c>
    </row>
    <row r="8" spans="1:12" s="700" customFormat="1" ht="27.75" customHeight="1">
      <c r="A8" s="697">
        <v>2</v>
      </c>
      <c r="B8" s="697">
        <v>1</v>
      </c>
      <c r="C8" s="697"/>
      <c r="D8" s="697"/>
      <c r="E8" s="697"/>
      <c r="F8" s="732" t="s">
        <v>20</v>
      </c>
      <c r="G8" s="698">
        <f>SUM(G9+G19+G22+G25+G28+G29)</f>
        <v>446207608</v>
      </c>
      <c r="H8" s="698">
        <f>SUM(H9)</f>
        <v>0</v>
      </c>
      <c r="I8" s="699">
        <f>SUM(I9+I19+I22+I25+I29)</f>
        <v>177774531</v>
      </c>
      <c r="J8" s="699">
        <f>SUM(J9+J19+J22+J25+J29)</f>
        <v>177774531</v>
      </c>
      <c r="K8" s="699">
        <f t="shared" ref="K8:K30" si="0">SUM(G8-J8)</f>
        <v>268433077</v>
      </c>
    </row>
    <row r="9" spans="1:12" s="700" customFormat="1" ht="24">
      <c r="A9" s="697">
        <v>2</v>
      </c>
      <c r="B9" s="697">
        <v>1</v>
      </c>
      <c r="C9" s="697">
        <v>1</v>
      </c>
      <c r="D9" s="697"/>
      <c r="E9" s="697"/>
      <c r="F9" s="732" t="s">
        <v>21</v>
      </c>
      <c r="G9" s="701">
        <f>G10</f>
        <v>323671608</v>
      </c>
      <c r="H9" s="702"/>
      <c r="I9" s="699">
        <f>SUM(I10)</f>
        <v>117474531</v>
      </c>
      <c r="J9" s="699">
        <f>SUM(J10)</f>
        <v>117474531</v>
      </c>
      <c r="K9" s="699">
        <f t="shared" si="0"/>
        <v>206197077</v>
      </c>
      <c r="L9" s="703"/>
    </row>
    <row r="10" spans="1:12" s="700" customFormat="1" ht="16.5" customHeight="1">
      <c r="A10" s="704">
        <v>2</v>
      </c>
      <c r="B10" s="704">
        <v>1</v>
      </c>
      <c r="C10" s="704">
        <v>1</v>
      </c>
      <c r="D10" s="704">
        <v>1</v>
      </c>
      <c r="E10" s="704"/>
      <c r="F10" s="733" t="s">
        <v>22</v>
      </c>
      <c r="G10" s="705">
        <f>SUM(G11:G18)</f>
        <v>323671608</v>
      </c>
      <c r="H10" s="705"/>
      <c r="I10" s="706">
        <f>SUM(I11:I18)</f>
        <v>117474531</v>
      </c>
      <c r="J10" s="706">
        <f>SUM(J11:J18)</f>
        <v>117474531</v>
      </c>
      <c r="K10" s="706">
        <f t="shared" si="0"/>
        <v>206197077</v>
      </c>
    </row>
    <row r="11" spans="1:12" s="700" customFormat="1" ht="24">
      <c r="A11" s="707"/>
      <c r="B11" s="707"/>
      <c r="C11" s="707"/>
      <c r="D11" s="707"/>
      <c r="E11" s="707"/>
      <c r="F11" s="733" t="s">
        <v>230</v>
      </c>
      <c r="G11" s="705">
        <f>APBDes2017!H49</f>
        <v>236496000</v>
      </c>
      <c r="H11" s="705"/>
      <c r="I11" s="706">
        <f>'% APBDes'!D54*5</f>
        <v>98540000</v>
      </c>
      <c r="J11" s="706">
        <f t="shared" ref="J11:J43" si="1">SUM(H11:I11)</f>
        <v>98540000</v>
      </c>
      <c r="K11" s="706">
        <f t="shared" si="0"/>
        <v>137956000</v>
      </c>
    </row>
    <row r="12" spans="1:12" s="700" customFormat="1" ht="38.25" customHeight="1">
      <c r="A12" s="708"/>
      <c r="B12" s="708"/>
      <c r="C12" s="708"/>
      <c r="D12" s="708"/>
      <c r="E12" s="708"/>
      <c r="F12" s="709" t="s">
        <v>663</v>
      </c>
      <c r="G12" s="705">
        <f>APBDes2017!H50</f>
        <v>13600000</v>
      </c>
      <c r="H12" s="705">
        <v>0</v>
      </c>
      <c r="I12" s="706"/>
      <c r="J12" s="706">
        <f t="shared" si="1"/>
        <v>0</v>
      </c>
      <c r="K12" s="706">
        <f t="shared" si="0"/>
        <v>13600000</v>
      </c>
    </row>
    <row r="13" spans="1:12" s="700" customFormat="1" ht="36.75" customHeight="1">
      <c r="A13" s="708"/>
      <c r="B13" s="708"/>
      <c r="C13" s="708"/>
      <c r="D13" s="708"/>
      <c r="E13" s="708"/>
      <c r="F13" s="709" t="s">
        <v>939</v>
      </c>
      <c r="G13" s="705">
        <f>APBDes2017!H51</f>
        <v>15000000</v>
      </c>
      <c r="H13" s="705">
        <v>0</v>
      </c>
      <c r="I13" s="706"/>
      <c r="J13" s="706">
        <f t="shared" si="1"/>
        <v>0</v>
      </c>
      <c r="K13" s="706">
        <f t="shared" si="0"/>
        <v>15000000</v>
      </c>
    </row>
    <row r="14" spans="1:12" s="700" customFormat="1" ht="25.5" customHeight="1">
      <c r="A14" s="708"/>
      <c r="B14" s="708"/>
      <c r="C14" s="708"/>
      <c r="D14" s="708"/>
      <c r="E14" s="708"/>
      <c r="F14" s="709" t="s">
        <v>196</v>
      </c>
      <c r="G14" s="705">
        <f>APBDes2017!H52</f>
        <v>18994560</v>
      </c>
      <c r="H14" s="705"/>
      <c r="I14" s="706">
        <f>'% APBDes'!G54*5</f>
        <v>7914400</v>
      </c>
      <c r="J14" s="706">
        <f t="shared" si="1"/>
        <v>7914400</v>
      </c>
      <c r="K14" s="706">
        <f t="shared" si="0"/>
        <v>11080160</v>
      </c>
    </row>
    <row r="15" spans="1:12" s="700" customFormat="1" ht="15" customHeight="1">
      <c r="A15" s="707"/>
      <c r="B15" s="707"/>
      <c r="C15" s="707"/>
      <c r="D15" s="707"/>
      <c r="E15" s="707"/>
      <c r="F15" s="733" t="s">
        <v>24</v>
      </c>
      <c r="G15" s="705">
        <f>APBDes2017!H53</f>
        <v>19620000</v>
      </c>
      <c r="H15" s="705"/>
      <c r="I15" s="706">
        <f>'RAB Penyelenggaraan Pem'!I39*5</f>
        <v>4150000</v>
      </c>
      <c r="J15" s="706">
        <f t="shared" si="1"/>
        <v>4150000</v>
      </c>
      <c r="K15" s="706">
        <f t="shared" si="0"/>
        <v>15470000</v>
      </c>
    </row>
    <row r="16" spans="1:12" s="700" customFormat="1" ht="15" customHeight="1">
      <c r="A16" s="707"/>
      <c r="B16" s="707"/>
      <c r="C16" s="707"/>
      <c r="D16" s="707"/>
      <c r="E16" s="707"/>
      <c r="F16" s="733" t="s">
        <v>231</v>
      </c>
      <c r="G16" s="705">
        <f>APBDes2017!H54</f>
        <v>4961048</v>
      </c>
      <c r="H16" s="705">
        <v>0</v>
      </c>
      <c r="I16" s="706">
        <f>'% APBDes'!H54</f>
        <v>620131</v>
      </c>
      <c r="J16" s="706">
        <f t="shared" si="1"/>
        <v>620131</v>
      </c>
      <c r="K16" s="706">
        <f t="shared" si="0"/>
        <v>4340917</v>
      </c>
    </row>
    <row r="17" spans="1:13" ht="25.5" customHeight="1">
      <c r="A17" s="708"/>
      <c r="B17" s="708"/>
      <c r="C17" s="708"/>
      <c r="D17" s="708"/>
      <c r="E17" s="708"/>
      <c r="F17" s="709" t="s">
        <v>129</v>
      </c>
      <c r="G17" s="702">
        <f>APBDes2017!H55</f>
        <v>0</v>
      </c>
      <c r="H17" s="701"/>
      <c r="I17" s="706"/>
      <c r="J17" s="706"/>
      <c r="K17" s="699"/>
      <c r="L17" s="690">
        <v>106430575</v>
      </c>
      <c r="M17" s="692">
        <f>SUM(H17+L17)</f>
        <v>106430575</v>
      </c>
    </row>
    <row r="18" spans="1:13">
      <c r="A18" s="708"/>
      <c r="B18" s="708"/>
      <c r="C18" s="708"/>
      <c r="D18" s="708"/>
      <c r="E18" s="708"/>
      <c r="F18" s="709" t="s">
        <v>163</v>
      </c>
      <c r="G18" s="702">
        <f>APBDes2017!H56</f>
        <v>15000000</v>
      </c>
      <c r="H18" s="702"/>
      <c r="I18" s="706">
        <f>'% APBDes'!I54*5</f>
        <v>6250000</v>
      </c>
      <c r="J18" s="706">
        <f>SUM(H18:I18)</f>
        <v>6250000</v>
      </c>
      <c r="K18" s="706">
        <f t="shared" si="0"/>
        <v>8750000</v>
      </c>
    </row>
    <row r="19" spans="1:13" ht="15" customHeight="1">
      <c r="A19" s="697">
        <v>2</v>
      </c>
      <c r="B19" s="697">
        <v>1</v>
      </c>
      <c r="C19" s="697">
        <v>2</v>
      </c>
      <c r="D19" s="697"/>
      <c r="E19" s="697"/>
      <c r="F19" s="732" t="s">
        <v>967</v>
      </c>
      <c r="G19" s="701">
        <f>SUM(G20:G21)</f>
        <v>60300000</v>
      </c>
      <c r="H19" s="702"/>
      <c r="I19" s="706">
        <f>SUM(I20:I21)</f>
        <v>60300000</v>
      </c>
      <c r="J19" s="706">
        <f>SUM(J20:J21)</f>
        <v>60300000</v>
      </c>
      <c r="K19" s="699">
        <f t="shared" si="0"/>
        <v>0</v>
      </c>
    </row>
    <row r="20" spans="1:13" ht="15" customHeight="1">
      <c r="A20" s="704">
        <v>2</v>
      </c>
      <c r="B20" s="704">
        <v>1</v>
      </c>
      <c r="C20" s="704">
        <v>2</v>
      </c>
      <c r="D20" s="704">
        <v>2</v>
      </c>
      <c r="E20" s="704"/>
      <c r="F20" s="733" t="s">
        <v>26</v>
      </c>
      <c r="G20" s="705">
        <f>APBDes2017!H58</f>
        <v>47631000</v>
      </c>
      <c r="H20" s="705"/>
      <c r="I20" s="710">
        <v>47631000</v>
      </c>
      <c r="J20" s="710">
        <f t="shared" si="1"/>
        <v>47631000</v>
      </c>
      <c r="K20" s="706">
        <f t="shared" si="0"/>
        <v>0</v>
      </c>
    </row>
    <row r="21" spans="1:13">
      <c r="A21" s="708">
        <v>2</v>
      </c>
      <c r="B21" s="708">
        <v>1</v>
      </c>
      <c r="C21" s="708">
        <v>2</v>
      </c>
      <c r="D21" s="708">
        <v>3</v>
      </c>
      <c r="E21" s="708"/>
      <c r="F21" s="709" t="s">
        <v>32</v>
      </c>
      <c r="G21" s="702">
        <f>APBDes2017!H59</f>
        <v>12669000</v>
      </c>
      <c r="H21" s="702"/>
      <c r="I21" s="710">
        <f>'RAB Penyelenggaraan Pem'!J149</f>
        <v>12669000</v>
      </c>
      <c r="J21" s="706">
        <f t="shared" si="1"/>
        <v>12669000</v>
      </c>
      <c r="K21" s="706">
        <f t="shared" si="0"/>
        <v>0</v>
      </c>
    </row>
    <row r="22" spans="1:13">
      <c r="A22" s="712">
        <v>2</v>
      </c>
      <c r="B22" s="712">
        <v>1</v>
      </c>
      <c r="C22" s="712">
        <v>3</v>
      </c>
      <c r="D22" s="712"/>
      <c r="E22" s="712"/>
      <c r="F22" s="734" t="s">
        <v>33</v>
      </c>
      <c r="G22" s="699">
        <f>SUM(G23:G24)</f>
        <v>3058000</v>
      </c>
      <c r="H22" s="702"/>
      <c r="I22" s="706">
        <v>0</v>
      </c>
      <c r="J22" s="706">
        <f t="shared" si="1"/>
        <v>0</v>
      </c>
      <c r="K22" s="699">
        <f t="shared" si="0"/>
        <v>3058000</v>
      </c>
    </row>
    <row r="23" spans="1:13">
      <c r="A23" s="708">
        <v>2</v>
      </c>
      <c r="B23" s="708">
        <v>1</v>
      </c>
      <c r="C23" s="708">
        <v>3</v>
      </c>
      <c r="D23" s="708">
        <v>2</v>
      </c>
      <c r="E23" s="708"/>
      <c r="F23" s="709" t="s">
        <v>34</v>
      </c>
      <c r="G23" s="706">
        <f>APBDes2017!H61</f>
        <v>1408000</v>
      </c>
      <c r="H23" s="702"/>
      <c r="I23" s="706"/>
      <c r="J23" s="706">
        <f t="shared" si="1"/>
        <v>0</v>
      </c>
      <c r="K23" s="706">
        <f t="shared" si="0"/>
        <v>1408000</v>
      </c>
    </row>
    <row r="24" spans="1:13">
      <c r="A24" s="708">
        <v>2</v>
      </c>
      <c r="B24" s="708">
        <v>1</v>
      </c>
      <c r="C24" s="708">
        <v>3</v>
      </c>
      <c r="D24" s="708">
        <v>3</v>
      </c>
      <c r="E24" s="708"/>
      <c r="F24" s="709" t="s">
        <v>32</v>
      </c>
      <c r="G24" s="710">
        <f>APBDes2017!H62</f>
        <v>1650000</v>
      </c>
      <c r="H24" s="713"/>
      <c r="I24" s="711">
        <v>0</v>
      </c>
      <c r="J24" s="711">
        <f t="shared" si="1"/>
        <v>0</v>
      </c>
      <c r="K24" s="706">
        <f t="shared" si="0"/>
        <v>1650000</v>
      </c>
    </row>
    <row r="25" spans="1:13">
      <c r="A25" s="697">
        <v>2</v>
      </c>
      <c r="B25" s="697">
        <v>1</v>
      </c>
      <c r="C25" s="697">
        <v>4</v>
      </c>
      <c r="D25" s="697"/>
      <c r="E25" s="697"/>
      <c r="F25" s="732" t="s">
        <v>35</v>
      </c>
      <c r="G25" s="711">
        <f>SUM(G26:G27)</f>
        <v>35100000</v>
      </c>
      <c r="H25" s="713">
        <v>0</v>
      </c>
      <c r="I25" s="711">
        <f>SUM(I26:I27)</f>
        <v>0</v>
      </c>
      <c r="J25" s="711">
        <f>SUM(J26:J27)</f>
        <v>0</v>
      </c>
      <c r="K25" s="699">
        <f t="shared" si="0"/>
        <v>35100000</v>
      </c>
    </row>
    <row r="26" spans="1:13">
      <c r="A26" s="704">
        <v>2</v>
      </c>
      <c r="B26" s="704">
        <v>1</v>
      </c>
      <c r="C26" s="704">
        <v>4</v>
      </c>
      <c r="D26" s="704">
        <v>2</v>
      </c>
      <c r="E26" s="704"/>
      <c r="F26" s="733" t="s">
        <v>34</v>
      </c>
      <c r="G26" s="706">
        <f>APBDes2017!H64</f>
        <v>35100000</v>
      </c>
      <c r="H26" s="701"/>
      <c r="I26" s="699"/>
      <c r="J26" s="699">
        <f t="shared" si="1"/>
        <v>0</v>
      </c>
      <c r="K26" s="699">
        <f t="shared" si="0"/>
        <v>35100000</v>
      </c>
    </row>
    <row r="27" spans="1:13">
      <c r="A27" s="708">
        <v>2</v>
      </c>
      <c r="B27" s="708">
        <v>1</v>
      </c>
      <c r="C27" s="708">
        <v>4</v>
      </c>
      <c r="D27" s="708">
        <v>3</v>
      </c>
      <c r="E27" s="708"/>
      <c r="F27" s="709" t="s">
        <v>132</v>
      </c>
      <c r="G27" s="706">
        <f>APBDes2017!H65</f>
        <v>0</v>
      </c>
      <c r="H27" s="713"/>
      <c r="I27" s="714"/>
      <c r="J27" s="710">
        <f t="shared" si="1"/>
        <v>0</v>
      </c>
      <c r="K27" s="699">
        <f t="shared" si="0"/>
        <v>0</v>
      </c>
    </row>
    <row r="28" spans="1:13" ht="24">
      <c r="A28" s="708">
        <v>2</v>
      </c>
      <c r="B28" s="708">
        <v>1</v>
      </c>
      <c r="C28" s="708">
        <v>12</v>
      </c>
      <c r="D28" s="708"/>
      <c r="E28" s="708"/>
      <c r="F28" s="782" t="s">
        <v>986</v>
      </c>
      <c r="G28" s="706">
        <f>APBDes2017!H66</f>
        <v>21724000</v>
      </c>
      <c r="H28" s="713"/>
      <c r="I28" s="714">
        <v>21724000</v>
      </c>
      <c r="J28" s="781">
        <f>SUM(H28:I28)</f>
        <v>21724000</v>
      </c>
      <c r="K28" s="699">
        <f t="shared" si="0"/>
        <v>0</v>
      </c>
    </row>
    <row r="29" spans="1:13" ht="16.5" customHeight="1">
      <c r="A29" s="697">
        <v>2</v>
      </c>
      <c r="B29" s="697">
        <v>1</v>
      </c>
      <c r="C29" s="697">
        <v>13</v>
      </c>
      <c r="D29" s="697"/>
      <c r="E29" s="697"/>
      <c r="F29" s="732" t="s">
        <v>941</v>
      </c>
      <c r="G29" s="715">
        <f>G30</f>
        <v>2354000</v>
      </c>
      <c r="H29" s="713"/>
      <c r="I29" s="716">
        <v>0</v>
      </c>
      <c r="J29" s="711">
        <f t="shared" si="1"/>
        <v>0</v>
      </c>
      <c r="K29" s="699">
        <f t="shared" si="0"/>
        <v>2354000</v>
      </c>
    </row>
    <row r="30" spans="1:13" ht="24" customHeight="1">
      <c r="A30" s="708"/>
      <c r="B30" s="708"/>
      <c r="C30" s="708"/>
      <c r="D30" s="717" t="s">
        <v>6</v>
      </c>
      <c r="E30" s="708"/>
      <c r="F30" s="709" t="s">
        <v>984</v>
      </c>
      <c r="G30" s="718">
        <f>APBDes2017!H69</f>
        <v>2354000</v>
      </c>
      <c r="H30" s="702">
        <v>0</v>
      </c>
      <c r="I30" s="714"/>
      <c r="J30" s="706">
        <f t="shared" si="1"/>
        <v>0</v>
      </c>
      <c r="K30" s="699">
        <f t="shared" si="0"/>
        <v>2354000</v>
      </c>
    </row>
    <row r="31" spans="1:13" ht="26.25" customHeight="1">
      <c r="A31" s="697">
        <v>2</v>
      </c>
      <c r="B31" s="697">
        <v>2</v>
      </c>
      <c r="C31" s="697"/>
      <c r="D31" s="697"/>
      <c r="E31" s="697"/>
      <c r="F31" s="732" t="s">
        <v>36</v>
      </c>
      <c r="G31" s="715">
        <f>SUM(G32:G38)</f>
        <v>747246772</v>
      </c>
      <c r="H31" s="715">
        <f t="shared" ref="H31:J31" si="2">SUM(H32:H38)</f>
        <v>0</v>
      </c>
      <c r="I31" s="715">
        <f t="shared" si="2"/>
        <v>101744400</v>
      </c>
      <c r="J31" s="715">
        <f t="shared" si="2"/>
        <v>101744400</v>
      </c>
      <c r="K31" s="699">
        <f>SUM(G31-J31)</f>
        <v>645502372</v>
      </c>
    </row>
    <row r="32" spans="1:13" ht="25.5" customHeight="1">
      <c r="A32" s="708">
        <v>2</v>
      </c>
      <c r="B32" s="708">
        <v>2</v>
      </c>
      <c r="C32" s="708">
        <v>2</v>
      </c>
      <c r="D32" s="708"/>
      <c r="E32" s="708"/>
      <c r="F32" s="735" t="s">
        <v>933</v>
      </c>
      <c r="G32" s="718">
        <f>APBDes2017!H74</f>
        <v>59077200</v>
      </c>
      <c r="H32" s="702"/>
      <c r="I32" s="781">
        <v>58398500</v>
      </c>
      <c r="J32" s="706">
        <f>SUM(H32:I32)</f>
        <v>58398500</v>
      </c>
      <c r="K32" s="699">
        <f t="shared" ref="K32:K66" si="3">SUM(G32-J32)</f>
        <v>678700</v>
      </c>
    </row>
    <row r="33" spans="1:11" ht="27" customHeight="1">
      <c r="A33" s="708">
        <v>2</v>
      </c>
      <c r="B33" s="708">
        <v>2</v>
      </c>
      <c r="C33" s="708">
        <v>3</v>
      </c>
      <c r="D33" s="708"/>
      <c r="E33" s="708"/>
      <c r="F33" s="735" t="s">
        <v>854</v>
      </c>
      <c r="G33" s="718">
        <f>APBDes2017!H77</f>
        <v>28097000</v>
      </c>
      <c r="H33" s="702"/>
      <c r="I33" s="714"/>
      <c r="J33" s="706">
        <f t="shared" ref="J33:J38" si="4">SUM(H33:I33)</f>
        <v>0</v>
      </c>
      <c r="K33" s="699">
        <f t="shared" si="3"/>
        <v>28097000</v>
      </c>
    </row>
    <row r="34" spans="1:11" ht="27" customHeight="1">
      <c r="A34" s="708">
        <v>2</v>
      </c>
      <c r="B34" s="708">
        <v>2</v>
      </c>
      <c r="C34" s="708">
        <v>4</v>
      </c>
      <c r="D34" s="708"/>
      <c r="E34" s="708"/>
      <c r="F34" s="709" t="s">
        <v>569</v>
      </c>
      <c r="G34" s="718">
        <f>APBDes2017!H80</f>
        <v>58093800</v>
      </c>
      <c r="H34" s="702"/>
      <c r="I34" s="714"/>
      <c r="J34" s="706">
        <f t="shared" si="4"/>
        <v>0</v>
      </c>
      <c r="K34" s="699">
        <f t="shared" si="3"/>
        <v>58093800</v>
      </c>
    </row>
    <row r="35" spans="1:11" ht="27" customHeight="1">
      <c r="A35" s="708">
        <v>2</v>
      </c>
      <c r="B35" s="708">
        <v>2</v>
      </c>
      <c r="C35" s="708">
        <v>9</v>
      </c>
      <c r="D35" s="719"/>
      <c r="E35" s="719"/>
      <c r="F35" s="720" t="s">
        <v>736</v>
      </c>
      <c r="G35" s="718">
        <f>APBDes2017!H83</f>
        <v>35837832</v>
      </c>
      <c r="H35" s="702"/>
      <c r="I35" s="714"/>
      <c r="J35" s="706">
        <f t="shared" si="4"/>
        <v>0</v>
      </c>
      <c r="K35" s="699">
        <f t="shared" si="3"/>
        <v>35837832</v>
      </c>
    </row>
    <row r="36" spans="1:11" ht="36.75" customHeight="1">
      <c r="A36" s="721">
        <v>2</v>
      </c>
      <c r="B36" s="721">
        <v>2</v>
      </c>
      <c r="C36" s="721">
        <v>19</v>
      </c>
      <c r="D36" s="721"/>
      <c r="E36" s="721"/>
      <c r="F36" s="733" t="s">
        <v>139</v>
      </c>
      <c r="G36" s="718">
        <f>APBDes2017!H86</f>
        <v>400314940</v>
      </c>
      <c r="H36" s="702"/>
      <c r="I36" s="714">
        <f>RABPembangunan!J561</f>
        <v>43345900</v>
      </c>
      <c r="J36" s="706">
        <f t="shared" si="4"/>
        <v>43345900</v>
      </c>
      <c r="K36" s="699">
        <f t="shared" si="3"/>
        <v>356969040</v>
      </c>
    </row>
    <row r="37" spans="1:11" ht="24" customHeight="1">
      <c r="A37" s="722">
        <v>2</v>
      </c>
      <c r="B37" s="722">
        <v>2</v>
      </c>
      <c r="C37" s="722">
        <v>20</v>
      </c>
      <c r="D37" s="722"/>
      <c r="E37" s="722"/>
      <c r="F37" s="709" t="s">
        <v>140</v>
      </c>
      <c r="G37" s="718">
        <f>APBDes2017!H89</f>
        <v>150000000</v>
      </c>
      <c r="H37" s="702"/>
      <c r="I37" s="714"/>
      <c r="J37" s="706">
        <f t="shared" si="4"/>
        <v>0</v>
      </c>
      <c r="K37" s="699">
        <f t="shared" si="3"/>
        <v>150000000</v>
      </c>
    </row>
    <row r="38" spans="1:11" ht="24.75" customHeight="1">
      <c r="A38" s="722">
        <v>2</v>
      </c>
      <c r="B38" s="722">
        <v>2</v>
      </c>
      <c r="C38" s="722">
        <v>51</v>
      </c>
      <c r="D38" s="722"/>
      <c r="E38" s="722"/>
      <c r="F38" s="735" t="s">
        <v>847</v>
      </c>
      <c r="G38" s="718">
        <f>APBDes2017!H92</f>
        <v>15826000</v>
      </c>
      <c r="H38" s="702"/>
      <c r="I38" s="714"/>
      <c r="J38" s="706">
        <f t="shared" si="4"/>
        <v>0</v>
      </c>
      <c r="K38" s="699">
        <f t="shared" si="3"/>
        <v>15826000</v>
      </c>
    </row>
    <row r="39" spans="1:11" ht="26.25" customHeight="1">
      <c r="A39" s="697">
        <v>2</v>
      </c>
      <c r="B39" s="697">
        <v>3</v>
      </c>
      <c r="C39" s="697"/>
      <c r="D39" s="697"/>
      <c r="E39" s="697"/>
      <c r="F39" s="732" t="s">
        <v>38</v>
      </c>
      <c r="G39" s="715">
        <f>SUM(G40:G43)</f>
        <v>97851820</v>
      </c>
      <c r="H39" s="715">
        <f t="shared" ref="H39:J39" si="5">SUM(H40:H43)</f>
        <v>0</v>
      </c>
      <c r="I39" s="715">
        <f t="shared" si="5"/>
        <v>12476000</v>
      </c>
      <c r="J39" s="715">
        <f t="shared" si="5"/>
        <v>12476000</v>
      </c>
      <c r="K39" s="699">
        <f t="shared" si="3"/>
        <v>85375820</v>
      </c>
    </row>
    <row r="40" spans="1:11" ht="24.75" customHeight="1">
      <c r="A40" s="708">
        <v>2</v>
      </c>
      <c r="B40" s="708">
        <v>3</v>
      </c>
      <c r="C40" s="708">
        <v>1</v>
      </c>
      <c r="D40" s="708"/>
      <c r="E40" s="723"/>
      <c r="F40" s="736" t="s">
        <v>141</v>
      </c>
      <c r="G40" s="718">
        <f>APBDes2017!H96</f>
        <v>10562000</v>
      </c>
      <c r="H40" s="702"/>
      <c r="I40" s="714"/>
      <c r="J40" s="706"/>
      <c r="K40" s="706">
        <f t="shared" si="3"/>
        <v>10562000</v>
      </c>
    </row>
    <row r="41" spans="1:11" ht="27" customHeight="1">
      <c r="A41" s="708">
        <v>2</v>
      </c>
      <c r="B41" s="708">
        <v>3</v>
      </c>
      <c r="C41" s="708">
        <v>2</v>
      </c>
      <c r="D41" s="708"/>
      <c r="E41" s="708"/>
      <c r="F41" s="709" t="s">
        <v>142</v>
      </c>
      <c r="G41" s="718">
        <f>APBDes2017!H99</f>
        <v>9064500</v>
      </c>
      <c r="H41" s="702"/>
      <c r="I41" s="714"/>
      <c r="J41" s="706"/>
      <c r="K41" s="706">
        <f t="shared" si="3"/>
        <v>9064500</v>
      </c>
    </row>
    <row r="42" spans="1:11" ht="14.25" customHeight="1">
      <c r="A42" s="708">
        <v>2</v>
      </c>
      <c r="B42" s="708">
        <v>3</v>
      </c>
      <c r="C42" s="708">
        <v>7</v>
      </c>
      <c r="D42" s="708"/>
      <c r="E42" s="708"/>
      <c r="F42" s="709" t="s">
        <v>724</v>
      </c>
      <c r="G42" s="718">
        <f>APBDes2017!H102</f>
        <v>52440320</v>
      </c>
      <c r="H42" s="702"/>
      <c r="I42" s="714"/>
      <c r="J42" s="706"/>
      <c r="K42" s="706">
        <f t="shared" si="3"/>
        <v>52440320</v>
      </c>
    </row>
    <row r="43" spans="1:11" ht="14.25" customHeight="1">
      <c r="A43" s="722">
        <v>2</v>
      </c>
      <c r="B43" s="722">
        <v>3</v>
      </c>
      <c r="C43" s="722">
        <v>8</v>
      </c>
      <c r="D43" s="708"/>
      <c r="E43" s="708"/>
      <c r="F43" s="709" t="s">
        <v>937</v>
      </c>
      <c r="G43" s="718">
        <f>APBDes2017!H105</f>
        <v>25785000</v>
      </c>
      <c r="H43" s="702">
        <v>0</v>
      </c>
      <c r="I43" s="706">
        <f>RABPembinaanKemasY!H149</f>
        <v>12476000</v>
      </c>
      <c r="J43" s="710">
        <f t="shared" si="1"/>
        <v>12476000</v>
      </c>
      <c r="K43" s="706">
        <f t="shared" si="3"/>
        <v>13309000</v>
      </c>
    </row>
    <row r="44" spans="1:11" ht="24">
      <c r="A44" s="697">
        <v>2</v>
      </c>
      <c r="B44" s="697">
        <v>4</v>
      </c>
      <c r="C44" s="697"/>
      <c r="D44" s="697"/>
      <c r="E44" s="697"/>
      <c r="F44" s="732" t="s">
        <v>40</v>
      </c>
      <c r="G44" s="715">
        <f>SUM(G45:G64)</f>
        <v>219003500</v>
      </c>
      <c r="H44" s="715">
        <f t="shared" ref="H44:J44" si="6">SUM(H45:H64)</f>
        <v>0</v>
      </c>
      <c r="I44" s="715">
        <f t="shared" si="6"/>
        <v>48645000</v>
      </c>
      <c r="J44" s="715">
        <f t="shared" si="6"/>
        <v>48645000</v>
      </c>
      <c r="K44" s="699">
        <f t="shared" si="3"/>
        <v>170358500</v>
      </c>
    </row>
    <row r="45" spans="1:11" ht="24">
      <c r="A45" s="708">
        <v>2</v>
      </c>
      <c r="B45" s="708">
        <v>4</v>
      </c>
      <c r="C45" s="708">
        <v>1</v>
      </c>
      <c r="D45" s="708"/>
      <c r="E45" s="708"/>
      <c r="F45" s="709" t="s">
        <v>144</v>
      </c>
      <c r="G45" s="718">
        <f>APBDes2017!H109</f>
        <v>6154000</v>
      </c>
      <c r="H45" s="702"/>
      <c r="I45" s="706"/>
      <c r="J45" s="710"/>
      <c r="K45" s="706">
        <f t="shared" si="3"/>
        <v>6154000</v>
      </c>
    </row>
    <row r="46" spans="1:11" ht="48.75" customHeight="1">
      <c r="A46" s="708">
        <v>2</v>
      </c>
      <c r="B46" s="708">
        <v>4</v>
      </c>
      <c r="C46" s="708">
        <v>2</v>
      </c>
      <c r="D46" s="708"/>
      <c r="E46" s="723"/>
      <c r="F46" s="737" t="s">
        <v>618</v>
      </c>
      <c r="G46" s="718">
        <f>APBDes2017!H112</f>
        <v>20000000</v>
      </c>
      <c r="H46" s="702"/>
      <c r="I46" s="706"/>
      <c r="J46" s="710"/>
      <c r="K46" s="706">
        <f t="shared" si="3"/>
        <v>20000000</v>
      </c>
    </row>
    <row r="47" spans="1:11" ht="36">
      <c r="A47" s="708">
        <v>2</v>
      </c>
      <c r="B47" s="708">
        <v>4</v>
      </c>
      <c r="C47" s="708">
        <v>3</v>
      </c>
      <c r="D47" s="708"/>
      <c r="E47" s="708"/>
      <c r="F47" s="709" t="s">
        <v>145</v>
      </c>
      <c r="G47" s="718">
        <f>APBDes2017!H115</f>
        <v>7807000</v>
      </c>
      <c r="H47" s="702"/>
      <c r="I47" s="706"/>
      <c r="J47" s="710"/>
      <c r="K47" s="706">
        <f t="shared" si="3"/>
        <v>7807000</v>
      </c>
    </row>
    <row r="48" spans="1:11" ht="36">
      <c r="A48" s="708">
        <v>2</v>
      </c>
      <c r="B48" s="708">
        <v>4</v>
      </c>
      <c r="C48" s="708">
        <v>5</v>
      </c>
      <c r="D48" s="708"/>
      <c r="E48" s="708"/>
      <c r="F48" s="709" t="s">
        <v>146</v>
      </c>
      <c r="G48" s="718">
        <f>APBDes2017!H118</f>
        <v>7767000</v>
      </c>
      <c r="H48" s="702"/>
      <c r="I48" s="706"/>
      <c r="J48" s="710"/>
      <c r="K48" s="706">
        <f t="shared" si="3"/>
        <v>7767000</v>
      </c>
    </row>
    <row r="49" spans="1:11" ht="24">
      <c r="A49" s="722">
        <v>2</v>
      </c>
      <c r="B49" s="722">
        <v>4</v>
      </c>
      <c r="C49" s="722">
        <v>7</v>
      </c>
      <c r="D49" s="722"/>
      <c r="E49" s="722"/>
      <c r="F49" s="709" t="s">
        <v>147</v>
      </c>
      <c r="G49" s="718">
        <f>APBDes2017!H121</f>
        <v>7229000</v>
      </c>
      <c r="H49" s="702"/>
      <c r="I49" s="706"/>
      <c r="J49" s="710"/>
      <c r="K49" s="706">
        <f t="shared" si="3"/>
        <v>7229000</v>
      </c>
    </row>
    <row r="50" spans="1:11" ht="24">
      <c r="A50" s="722">
        <v>2</v>
      </c>
      <c r="B50" s="722">
        <v>4</v>
      </c>
      <c r="C50" s="722">
        <v>8</v>
      </c>
      <c r="D50" s="722"/>
      <c r="E50" s="722"/>
      <c r="F50" s="709" t="s">
        <v>148</v>
      </c>
      <c r="G50" s="718">
        <f>APBDes2017!H124</f>
        <v>4945000</v>
      </c>
      <c r="H50" s="702"/>
      <c r="I50" s="706"/>
      <c r="J50" s="710"/>
      <c r="K50" s="706">
        <f t="shared" si="3"/>
        <v>4945000</v>
      </c>
    </row>
    <row r="51" spans="1:11" ht="24">
      <c r="A51" s="722">
        <v>2</v>
      </c>
      <c r="B51" s="722">
        <v>4</v>
      </c>
      <c r="C51" s="722">
        <v>9</v>
      </c>
      <c r="D51" s="722"/>
      <c r="E51" s="722"/>
      <c r="F51" s="709" t="s">
        <v>149</v>
      </c>
      <c r="G51" s="718">
        <f>APBDes2017!H127</f>
        <v>25746000</v>
      </c>
      <c r="H51" s="702"/>
      <c r="I51" s="706">
        <v>25746000</v>
      </c>
      <c r="J51" s="781">
        <f>SUM(H51:I51)</f>
        <v>25746000</v>
      </c>
      <c r="K51" s="706">
        <f t="shared" si="3"/>
        <v>0</v>
      </c>
    </row>
    <row r="52" spans="1:11" ht="24">
      <c r="A52" s="722">
        <v>2</v>
      </c>
      <c r="B52" s="722">
        <v>4</v>
      </c>
      <c r="C52" s="722">
        <v>10</v>
      </c>
      <c r="D52" s="708"/>
      <c r="E52" s="708"/>
      <c r="F52" s="709" t="s">
        <v>150</v>
      </c>
      <c r="G52" s="718">
        <f>APBDes2017!H130</f>
        <v>10696000</v>
      </c>
      <c r="H52" s="702"/>
      <c r="I52" s="706"/>
      <c r="J52" s="710"/>
      <c r="K52" s="706">
        <f t="shared" si="3"/>
        <v>10696000</v>
      </c>
    </row>
    <row r="53" spans="1:11" ht="24">
      <c r="A53" s="722">
        <v>2</v>
      </c>
      <c r="B53" s="722">
        <v>4</v>
      </c>
      <c r="C53" s="722">
        <v>11</v>
      </c>
      <c r="D53" s="708"/>
      <c r="E53" s="708"/>
      <c r="F53" s="709" t="s">
        <v>151</v>
      </c>
      <c r="G53" s="718">
        <f>APBDes2017!H133</f>
        <v>7767000</v>
      </c>
      <c r="H53" s="702"/>
      <c r="I53" s="706"/>
      <c r="J53" s="710"/>
      <c r="K53" s="706">
        <f t="shared" si="3"/>
        <v>7767000</v>
      </c>
    </row>
    <row r="54" spans="1:11" ht="28.5" customHeight="1">
      <c r="A54" s="722">
        <v>2</v>
      </c>
      <c r="B54" s="722">
        <v>4</v>
      </c>
      <c r="C54" s="722">
        <v>13</v>
      </c>
      <c r="D54" s="708"/>
      <c r="E54" s="708"/>
      <c r="F54" s="709" t="s">
        <v>152</v>
      </c>
      <c r="G54" s="718">
        <f>APBDes2017!H136</f>
        <v>7229000</v>
      </c>
      <c r="H54" s="702"/>
      <c r="I54" s="706"/>
      <c r="J54" s="710"/>
      <c r="K54" s="706">
        <f t="shared" si="3"/>
        <v>7229000</v>
      </c>
    </row>
    <row r="55" spans="1:11" ht="24">
      <c r="A55" s="722">
        <v>2</v>
      </c>
      <c r="B55" s="722">
        <v>4</v>
      </c>
      <c r="C55" s="722">
        <v>14</v>
      </c>
      <c r="D55" s="708"/>
      <c r="E55" s="708"/>
      <c r="F55" s="709" t="s">
        <v>153</v>
      </c>
      <c r="G55" s="718">
        <f>APBDes2017!H139</f>
        <v>4643000</v>
      </c>
      <c r="H55" s="702"/>
      <c r="I55" s="706"/>
      <c r="J55" s="710"/>
      <c r="K55" s="706">
        <f t="shared" si="3"/>
        <v>4643000</v>
      </c>
    </row>
    <row r="56" spans="1:11" ht="29.25" customHeight="1">
      <c r="A56" s="722">
        <v>2</v>
      </c>
      <c r="B56" s="722">
        <v>4</v>
      </c>
      <c r="C56" s="722">
        <v>16</v>
      </c>
      <c r="D56" s="708"/>
      <c r="E56" s="708"/>
      <c r="F56" s="738" t="s">
        <v>729</v>
      </c>
      <c r="G56" s="718">
        <f>APBDes2017!H142</f>
        <v>7364000</v>
      </c>
      <c r="H56" s="702"/>
      <c r="I56" s="706">
        <v>7364000</v>
      </c>
      <c r="J56" s="781">
        <f>SUM(H56:I56)</f>
        <v>7364000</v>
      </c>
      <c r="K56" s="706">
        <f t="shared" si="3"/>
        <v>0</v>
      </c>
    </row>
    <row r="57" spans="1:11" ht="15" customHeight="1">
      <c r="A57" s="722">
        <v>2</v>
      </c>
      <c r="B57" s="722">
        <v>4</v>
      </c>
      <c r="C57" s="722">
        <v>17</v>
      </c>
      <c r="D57" s="708"/>
      <c r="E57" s="708"/>
      <c r="F57" s="738" t="s">
        <v>730</v>
      </c>
      <c r="G57" s="718">
        <f>APBDes2017!H145</f>
        <v>7267000</v>
      </c>
      <c r="H57" s="702"/>
      <c r="I57" s="706"/>
      <c r="J57" s="710"/>
      <c r="K57" s="706">
        <f t="shared" si="3"/>
        <v>7267000</v>
      </c>
    </row>
    <row r="58" spans="1:11" ht="48">
      <c r="A58" s="722">
        <v>2</v>
      </c>
      <c r="B58" s="722">
        <v>4</v>
      </c>
      <c r="C58" s="722">
        <v>19</v>
      </c>
      <c r="D58" s="708"/>
      <c r="E58" s="708"/>
      <c r="F58" s="738" t="s">
        <v>731</v>
      </c>
      <c r="G58" s="718">
        <f>APBDes2017!H148</f>
        <v>23502500</v>
      </c>
      <c r="H58" s="702"/>
      <c r="I58" s="706"/>
      <c r="J58" s="710"/>
      <c r="K58" s="706">
        <f t="shared" si="3"/>
        <v>23502500</v>
      </c>
    </row>
    <row r="59" spans="1:11" ht="24">
      <c r="A59" s="722">
        <v>2</v>
      </c>
      <c r="B59" s="722">
        <v>4</v>
      </c>
      <c r="C59" s="722">
        <v>20</v>
      </c>
      <c r="D59" s="708"/>
      <c r="E59" s="708"/>
      <c r="F59" s="709" t="s">
        <v>133</v>
      </c>
      <c r="G59" s="718">
        <f>APBDes2017!H151</f>
        <v>6289000</v>
      </c>
      <c r="H59" s="702"/>
      <c r="I59" s="706"/>
      <c r="J59" s="710"/>
      <c r="K59" s="706">
        <f t="shared" si="3"/>
        <v>6289000</v>
      </c>
    </row>
    <row r="60" spans="1:11" ht="24">
      <c r="A60" s="722">
        <v>2</v>
      </c>
      <c r="B60" s="722">
        <v>4</v>
      </c>
      <c r="C60" s="722">
        <v>21</v>
      </c>
      <c r="D60" s="708"/>
      <c r="E60" s="708"/>
      <c r="F60" s="738" t="s">
        <v>875</v>
      </c>
      <c r="G60" s="718">
        <f>APBDes2017!H154</f>
        <v>15535000</v>
      </c>
      <c r="H60" s="702"/>
      <c r="I60" s="706">
        <v>15535000</v>
      </c>
      <c r="J60" s="781">
        <f>SUM(H60:I60)</f>
        <v>15535000</v>
      </c>
      <c r="K60" s="706">
        <f>SUM(G60-J60)</f>
        <v>0</v>
      </c>
    </row>
    <row r="61" spans="1:11" ht="24">
      <c r="A61" s="722">
        <v>2</v>
      </c>
      <c r="B61" s="722">
        <v>4</v>
      </c>
      <c r="C61" s="722">
        <v>22</v>
      </c>
      <c r="D61" s="708"/>
      <c r="E61" s="708"/>
      <c r="F61" s="709" t="s">
        <v>725</v>
      </c>
      <c r="G61" s="718">
        <f>APBDes2017!H157</f>
        <v>17657000</v>
      </c>
      <c r="H61" s="702"/>
      <c r="I61" s="706"/>
      <c r="J61" s="710"/>
      <c r="K61" s="706">
        <f t="shared" si="3"/>
        <v>17657000</v>
      </c>
    </row>
    <row r="62" spans="1:11" ht="24">
      <c r="A62" s="722">
        <v>2</v>
      </c>
      <c r="B62" s="722">
        <v>4</v>
      </c>
      <c r="C62" s="722">
        <v>23</v>
      </c>
      <c r="D62" s="708"/>
      <c r="E62" s="708"/>
      <c r="F62" s="709" t="s">
        <v>726</v>
      </c>
      <c r="G62" s="718">
        <f>APBDes2017!H160</f>
        <v>19957000</v>
      </c>
      <c r="H62" s="702"/>
      <c r="I62" s="706"/>
      <c r="J62" s="710"/>
      <c r="K62" s="706">
        <f t="shared" si="3"/>
        <v>19957000</v>
      </c>
    </row>
    <row r="63" spans="1:11" ht="36">
      <c r="A63" s="722">
        <v>2</v>
      </c>
      <c r="B63" s="722">
        <v>4</v>
      </c>
      <c r="C63" s="722">
        <v>24</v>
      </c>
      <c r="D63" s="708"/>
      <c r="E63" s="708"/>
      <c r="F63" s="739" t="s">
        <v>727</v>
      </c>
      <c r="G63" s="718">
        <f>APBDes2017!H163</f>
        <v>3682000</v>
      </c>
      <c r="H63" s="702"/>
      <c r="I63" s="706"/>
      <c r="J63" s="710"/>
      <c r="K63" s="706">
        <f t="shared" si="3"/>
        <v>3682000</v>
      </c>
    </row>
    <row r="64" spans="1:11" ht="36">
      <c r="A64" s="722">
        <v>2</v>
      </c>
      <c r="B64" s="722">
        <v>4</v>
      </c>
      <c r="C64" s="722">
        <v>25</v>
      </c>
      <c r="D64" s="708"/>
      <c r="E64" s="708"/>
      <c r="F64" s="735" t="s">
        <v>728</v>
      </c>
      <c r="G64" s="718">
        <f>APBDes2017!H167</f>
        <v>7767000</v>
      </c>
      <c r="H64" s="702"/>
      <c r="I64" s="706"/>
      <c r="J64" s="710"/>
      <c r="K64" s="706">
        <f t="shared" si="3"/>
        <v>7767000</v>
      </c>
    </row>
    <row r="65" spans="1:11">
      <c r="A65" s="724">
        <v>2</v>
      </c>
      <c r="B65" s="724">
        <v>5</v>
      </c>
      <c r="C65" s="724"/>
      <c r="D65" s="724"/>
      <c r="E65" s="724"/>
      <c r="F65" s="740" t="s">
        <v>42</v>
      </c>
      <c r="G65" s="715">
        <f>SUM(G66)</f>
        <v>0</v>
      </c>
      <c r="H65" s="701"/>
      <c r="I65" s="701"/>
      <c r="J65" s="701"/>
      <c r="K65" s="706">
        <f t="shared" si="3"/>
        <v>0</v>
      </c>
    </row>
    <row r="66" spans="1:11">
      <c r="A66" s="722"/>
      <c r="B66" s="722"/>
      <c r="C66" s="722"/>
      <c r="D66" s="708"/>
      <c r="E66" s="708"/>
      <c r="F66" s="780"/>
      <c r="G66" s="718"/>
      <c r="H66" s="702"/>
      <c r="I66" s="706"/>
      <c r="J66" s="710"/>
      <c r="K66" s="706">
        <f t="shared" si="3"/>
        <v>0</v>
      </c>
    </row>
    <row r="67" spans="1:11">
      <c r="A67" s="725"/>
      <c r="B67" s="725"/>
      <c r="C67" s="725"/>
      <c r="D67" s="725"/>
      <c r="E67" s="725"/>
      <c r="F67" s="743" t="s">
        <v>59</v>
      </c>
      <c r="G67" s="726">
        <f>SUM(G8+G31+G39+G44+G65)</f>
        <v>1510309700</v>
      </c>
      <c r="H67" s="727">
        <f>SUM(H8+H31+H39+H44+H65)</f>
        <v>0</v>
      </c>
      <c r="I67" s="726">
        <f>SUM(I8+I31+I39+I44+I65)</f>
        <v>340639931</v>
      </c>
      <c r="J67" s="726">
        <f>SUM(H67:I67)</f>
        <v>340639931</v>
      </c>
      <c r="K67" s="726">
        <f>SUM(G67-J67)</f>
        <v>1169669769</v>
      </c>
    </row>
    <row r="68" spans="1:11">
      <c r="F68" s="741"/>
      <c r="G68" s="691"/>
      <c r="I68" s="1037" t="s">
        <v>1009</v>
      </c>
      <c r="J68" s="1037"/>
      <c r="K68" s="1037"/>
    </row>
    <row r="69" spans="1:11">
      <c r="F69" s="1041" t="s">
        <v>611</v>
      </c>
      <c r="G69" s="1041"/>
      <c r="I69" s="1037"/>
      <c r="J69" s="1037"/>
      <c r="K69" s="1037"/>
    </row>
    <row r="70" spans="1:11">
      <c r="F70" s="1041" t="s">
        <v>181</v>
      </c>
      <c r="G70" s="1041"/>
      <c r="I70" s="1037" t="s">
        <v>182</v>
      </c>
      <c r="J70" s="1037"/>
      <c r="K70" s="1037"/>
    </row>
    <row r="71" spans="1:11">
      <c r="F71" s="741"/>
      <c r="G71" s="728"/>
      <c r="I71" s="691"/>
      <c r="J71" s="691"/>
      <c r="K71" s="691"/>
    </row>
    <row r="72" spans="1:11">
      <c r="F72" s="741"/>
      <c r="G72" s="691"/>
      <c r="I72" s="691"/>
      <c r="J72" s="691"/>
      <c r="K72" s="691"/>
    </row>
    <row r="73" spans="1:11">
      <c r="F73" s="1042" t="s">
        <v>115</v>
      </c>
      <c r="G73" s="1042"/>
      <c r="H73" s="729"/>
      <c r="I73" s="1043" t="s">
        <v>615</v>
      </c>
      <c r="J73" s="1043"/>
      <c r="K73" s="1043"/>
    </row>
    <row r="74" spans="1:11">
      <c r="F74" s="1041" t="s">
        <v>612</v>
      </c>
      <c r="G74" s="1041"/>
      <c r="H74" s="1041"/>
      <c r="I74" s="1041"/>
      <c r="J74" s="1041"/>
      <c r="K74" s="1041"/>
    </row>
    <row r="75" spans="1:11">
      <c r="F75" s="1041" t="s">
        <v>71</v>
      </c>
      <c r="G75" s="1041"/>
      <c r="H75" s="1041"/>
      <c r="I75" s="1041"/>
      <c r="J75" s="1041"/>
      <c r="K75" s="1041"/>
    </row>
    <row r="76" spans="1:11">
      <c r="F76" s="741"/>
      <c r="G76" s="728"/>
      <c r="H76" s="730"/>
      <c r="I76" s="728"/>
      <c r="J76" s="728"/>
      <c r="K76" s="728"/>
    </row>
    <row r="77" spans="1:11">
      <c r="F77" s="741"/>
      <c r="G77" s="728"/>
      <c r="H77" s="730"/>
      <c r="I77" s="728"/>
      <c r="J77" s="728"/>
      <c r="K77" s="728"/>
    </row>
    <row r="78" spans="1:11" ht="15" customHeight="1">
      <c r="F78" s="1036" t="s">
        <v>51</v>
      </c>
      <c r="G78" s="1036"/>
      <c r="H78" s="1036"/>
      <c r="I78" s="1036"/>
      <c r="J78" s="1036"/>
      <c r="K78" s="1036"/>
    </row>
    <row r="80" spans="1:11" ht="11.25" customHeight="1">
      <c r="A80" s="690"/>
      <c r="B80" s="690"/>
      <c r="C80" s="690"/>
      <c r="D80" s="690"/>
      <c r="E80" s="690"/>
      <c r="H80" s="690"/>
    </row>
    <row r="81" spans="1:11" ht="10.5" customHeight="1">
      <c r="A81" s="690"/>
      <c r="B81" s="690"/>
      <c r="C81" s="690"/>
      <c r="D81" s="690"/>
      <c r="E81" s="690"/>
      <c r="H81" s="690"/>
    </row>
    <row r="82" spans="1:11" ht="10.5" customHeight="1">
      <c r="A82" s="690"/>
      <c r="B82" s="690"/>
      <c r="C82" s="690"/>
      <c r="D82" s="690"/>
      <c r="E82" s="690"/>
      <c r="H82" s="690"/>
    </row>
    <row r="83" spans="1:11" ht="11.25" customHeight="1">
      <c r="A83" s="690"/>
      <c r="B83" s="690"/>
      <c r="C83" s="690"/>
      <c r="D83" s="690"/>
      <c r="E83" s="690"/>
      <c r="H83" s="690"/>
    </row>
    <row r="84" spans="1:11" ht="3" customHeight="1">
      <c r="A84" s="690"/>
      <c r="B84" s="690"/>
      <c r="C84" s="690"/>
      <c r="D84" s="690"/>
      <c r="E84" s="690"/>
      <c r="H84" s="690"/>
    </row>
    <row r="85" spans="1:11">
      <c r="A85" s="690"/>
      <c r="B85" s="690"/>
      <c r="C85" s="690"/>
      <c r="D85" s="690"/>
      <c r="E85" s="690"/>
      <c r="H85" s="690"/>
    </row>
    <row r="86" spans="1:11" s="700" customFormat="1" ht="8.25" customHeight="1">
      <c r="A86" s="690"/>
      <c r="B86" s="690"/>
      <c r="C86" s="690"/>
      <c r="D86" s="690"/>
      <c r="E86" s="690"/>
      <c r="F86" s="742"/>
      <c r="G86" s="690"/>
      <c r="H86" s="690"/>
      <c r="I86" s="690"/>
      <c r="J86" s="690"/>
      <c r="K86" s="690"/>
    </row>
    <row r="87" spans="1:11" s="700" customFormat="1" ht="26.25" customHeight="1">
      <c r="A87" s="690"/>
      <c r="B87" s="690"/>
      <c r="C87" s="690"/>
      <c r="D87" s="690"/>
      <c r="E87" s="690"/>
      <c r="F87" s="742"/>
      <c r="G87" s="690"/>
      <c r="H87" s="690"/>
      <c r="I87" s="690"/>
      <c r="J87" s="690"/>
      <c r="K87" s="690"/>
    </row>
    <row r="88" spans="1:11">
      <c r="A88" s="690"/>
      <c r="B88" s="690"/>
      <c r="C88" s="690"/>
      <c r="D88" s="690"/>
      <c r="E88" s="690"/>
      <c r="H88" s="690"/>
    </row>
    <row r="89" spans="1:11">
      <c r="A89" s="690"/>
      <c r="B89" s="690"/>
      <c r="C89" s="690"/>
      <c r="D89" s="690"/>
      <c r="E89" s="690"/>
      <c r="H89" s="690"/>
    </row>
    <row r="90" spans="1:11">
      <c r="A90" s="690"/>
      <c r="B90" s="690"/>
      <c r="C90" s="690"/>
      <c r="D90" s="690"/>
      <c r="E90" s="690"/>
      <c r="H90" s="690"/>
    </row>
    <row r="91" spans="1:11" ht="15" customHeight="1">
      <c r="A91" s="690"/>
      <c r="B91" s="690"/>
      <c r="C91" s="690"/>
      <c r="D91" s="690"/>
      <c r="E91" s="690"/>
      <c r="H91" s="690"/>
    </row>
    <row r="92" spans="1:11">
      <c r="A92" s="690"/>
      <c r="B92" s="690"/>
      <c r="C92" s="690"/>
      <c r="D92" s="690"/>
      <c r="E92" s="690"/>
      <c r="H92" s="690"/>
    </row>
    <row r="93" spans="1:11">
      <c r="A93" s="690"/>
      <c r="B93" s="690"/>
      <c r="C93" s="690"/>
      <c r="D93" s="690"/>
      <c r="E93" s="690"/>
      <c r="H93" s="690"/>
    </row>
    <row r="94" spans="1:11">
      <c r="A94" s="690"/>
      <c r="B94" s="690"/>
      <c r="C94" s="690"/>
      <c r="D94" s="690"/>
      <c r="E94" s="690"/>
      <c r="H94" s="690"/>
    </row>
    <row r="95" spans="1:11" ht="18" customHeight="1">
      <c r="A95" s="690"/>
      <c r="B95" s="690"/>
      <c r="C95" s="690"/>
      <c r="D95" s="690"/>
      <c r="E95" s="690"/>
      <c r="H95" s="690"/>
    </row>
    <row r="96" spans="1:11">
      <c r="A96" s="690"/>
      <c r="B96" s="690"/>
      <c r="C96" s="690"/>
      <c r="D96" s="690"/>
      <c r="E96" s="690"/>
      <c r="H96" s="690"/>
    </row>
    <row r="97" spans="1:8" ht="18" customHeight="1">
      <c r="A97" s="690"/>
      <c r="B97" s="690"/>
      <c r="C97" s="690"/>
      <c r="D97" s="690"/>
      <c r="E97" s="690"/>
      <c r="H97" s="690"/>
    </row>
    <row r="98" spans="1:8">
      <c r="A98" s="690"/>
      <c r="B98" s="690"/>
      <c r="C98" s="690"/>
      <c r="D98" s="690"/>
      <c r="E98" s="690"/>
      <c r="H98" s="690"/>
    </row>
    <row r="99" spans="1:8">
      <c r="A99" s="690"/>
      <c r="B99" s="690"/>
      <c r="C99" s="690"/>
      <c r="D99" s="690"/>
      <c r="E99" s="690"/>
      <c r="H99" s="690"/>
    </row>
    <row r="100" spans="1:8">
      <c r="A100" s="690"/>
      <c r="B100" s="690"/>
      <c r="C100" s="690"/>
      <c r="D100" s="690"/>
      <c r="E100" s="690"/>
      <c r="H100" s="690"/>
    </row>
    <row r="101" spans="1:8">
      <c r="A101" s="690"/>
      <c r="B101" s="690"/>
      <c r="C101" s="690"/>
      <c r="D101" s="690"/>
      <c r="E101" s="690"/>
      <c r="H101" s="690"/>
    </row>
    <row r="102" spans="1:8">
      <c r="A102" s="690"/>
      <c r="B102" s="690"/>
      <c r="C102" s="690"/>
      <c r="D102" s="690"/>
      <c r="E102" s="690"/>
      <c r="H102" s="690"/>
    </row>
    <row r="103" spans="1:8">
      <c r="A103" s="690"/>
      <c r="B103" s="690"/>
      <c r="C103" s="690"/>
      <c r="D103" s="690"/>
      <c r="E103" s="690"/>
      <c r="H103" s="690"/>
    </row>
    <row r="104" spans="1:8">
      <c r="A104" s="690"/>
      <c r="B104" s="690"/>
      <c r="C104" s="690"/>
      <c r="D104" s="690"/>
      <c r="E104" s="690"/>
      <c r="H104" s="690"/>
    </row>
    <row r="105" spans="1:8">
      <c r="A105" s="690"/>
      <c r="B105" s="690"/>
      <c r="C105" s="690"/>
      <c r="D105" s="690"/>
      <c r="E105" s="690"/>
      <c r="H105" s="690"/>
    </row>
    <row r="106" spans="1:8">
      <c r="A106" s="690"/>
      <c r="B106" s="690"/>
      <c r="C106" s="690"/>
      <c r="D106" s="690"/>
      <c r="E106" s="690"/>
      <c r="H106" s="690"/>
    </row>
    <row r="107" spans="1:8">
      <c r="A107" s="690"/>
      <c r="B107" s="690"/>
      <c r="C107" s="690"/>
      <c r="D107" s="690"/>
      <c r="E107" s="690"/>
      <c r="H107" s="690"/>
    </row>
    <row r="108" spans="1:8">
      <c r="A108" s="690"/>
      <c r="B108" s="690"/>
      <c r="C108" s="690"/>
      <c r="D108" s="690"/>
      <c r="E108" s="690"/>
      <c r="H108" s="690"/>
    </row>
    <row r="109" spans="1:8">
      <c r="A109" s="690"/>
      <c r="B109" s="690"/>
      <c r="C109" s="690"/>
      <c r="D109" s="690"/>
      <c r="E109" s="690"/>
      <c r="H109" s="690"/>
    </row>
    <row r="110" spans="1:8">
      <c r="A110" s="690"/>
      <c r="B110" s="690"/>
      <c r="C110" s="690"/>
      <c r="D110" s="690"/>
      <c r="E110" s="690"/>
      <c r="H110" s="690"/>
    </row>
    <row r="111" spans="1:8">
      <c r="A111" s="690"/>
      <c r="B111" s="690"/>
      <c r="C111" s="690"/>
      <c r="D111" s="690"/>
      <c r="E111" s="690"/>
      <c r="H111" s="690"/>
    </row>
    <row r="112" spans="1:8">
      <c r="A112" s="690"/>
      <c r="B112" s="690"/>
      <c r="C112" s="690"/>
      <c r="D112" s="690"/>
      <c r="E112" s="690"/>
      <c r="H112" s="690"/>
    </row>
    <row r="113" spans="1:13">
      <c r="A113" s="690"/>
      <c r="B113" s="690"/>
      <c r="C113" s="690"/>
      <c r="D113" s="690"/>
      <c r="E113" s="690"/>
      <c r="H113" s="690"/>
    </row>
    <row r="114" spans="1:13">
      <c r="A114" s="690"/>
      <c r="B114" s="690"/>
      <c r="C114" s="690"/>
      <c r="D114" s="690"/>
      <c r="E114" s="690"/>
      <c r="H114" s="690"/>
    </row>
    <row r="115" spans="1:13">
      <c r="A115" s="690"/>
      <c r="B115" s="690"/>
      <c r="C115" s="690"/>
      <c r="D115" s="690"/>
      <c r="E115" s="690"/>
      <c r="H115" s="690"/>
    </row>
    <row r="116" spans="1:13">
      <c r="A116" s="690"/>
      <c r="B116" s="690"/>
      <c r="C116" s="690"/>
      <c r="D116" s="690"/>
      <c r="E116" s="690"/>
      <c r="H116" s="690"/>
    </row>
    <row r="117" spans="1:13">
      <c r="A117" s="690"/>
      <c r="B117" s="690"/>
      <c r="C117" s="690"/>
      <c r="D117" s="690"/>
      <c r="E117" s="690"/>
      <c r="H117" s="690"/>
    </row>
    <row r="118" spans="1:13">
      <c r="A118" s="690"/>
      <c r="B118" s="690"/>
      <c r="C118" s="690"/>
      <c r="D118" s="690"/>
      <c r="E118" s="690"/>
      <c r="H118" s="690"/>
    </row>
    <row r="119" spans="1:13">
      <c r="A119" s="690"/>
      <c r="B119" s="690"/>
      <c r="C119" s="690"/>
      <c r="D119" s="690"/>
      <c r="E119" s="690"/>
      <c r="H119" s="690"/>
    </row>
    <row r="120" spans="1:13">
      <c r="A120" s="690"/>
      <c r="B120" s="690"/>
      <c r="C120" s="690"/>
      <c r="D120" s="690"/>
      <c r="E120" s="690"/>
      <c r="H120" s="690"/>
    </row>
    <row r="121" spans="1:13">
      <c r="A121" s="690"/>
      <c r="B121" s="690"/>
      <c r="C121" s="690"/>
      <c r="D121" s="690"/>
      <c r="E121" s="690"/>
      <c r="H121" s="690"/>
    </row>
    <row r="122" spans="1:13">
      <c r="A122" s="690"/>
      <c r="B122" s="690"/>
      <c r="C122" s="690"/>
      <c r="D122" s="690"/>
      <c r="E122" s="690"/>
      <c r="H122" s="690"/>
      <c r="L122" s="690">
        <v>18873268</v>
      </c>
      <c r="M122" s="692">
        <f>H122-L122</f>
        <v>-18873268</v>
      </c>
    </row>
    <row r="123" spans="1:13">
      <c r="A123" s="690"/>
      <c r="B123" s="690"/>
      <c r="C123" s="690"/>
      <c r="D123" s="690"/>
      <c r="E123" s="690"/>
      <c r="H123" s="690"/>
      <c r="L123" s="691">
        <f>H121+I122</f>
        <v>0</v>
      </c>
      <c r="M123" s="692"/>
    </row>
    <row r="124" spans="1:13">
      <c r="A124" s="690"/>
      <c r="B124" s="690"/>
      <c r="C124" s="690"/>
      <c r="D124" s="690"/>
      <c r="E124" s="690"/>
      <c r="H124" s="690"/>
      <c r="L124" s="691">
        <f>H122+I125</f>
        <v>0</v>
      </c>
      <c r="M124" s="691">
        <f>H122+L124</f>
        <v>0</v>
      </c>
    </row>
    <row r="125" spans="1:13">
      <c r="A125" s="690"/>
      <c r="B125" s="690"/>
      <c r="C125" s="690"/>
      <c r="D125" s="690"/>
      <c r="E125" s="690"/>
      <c r="H125" s="690"/>
      <c r="L125" s="691">
        <f>H122+I122</f>
        <v>0</v>
      </c>
    </row>
    <row r="126" spans="1:13">
      <c r="A126" s="690"/>
      <c r="B126" s="690"/>
      <c r="C126" s="690"/>
      <c r="D126" s="690"/>
      <c r="E126" s="690"/>
      <c r="H126" s="690"/>
      <c r="L126" s="692">
        <f>H124-19263430</f>
        <v>-19263430</v>
      </c>
    </row>
    <row r="127" spans="1:13">
      <c r="A127" s="690"/>
      <c r="B127" s="690"/>
      <c r="C127" s="690"/>
      <c r="D127" s="690"/>
      <c r="E127" s="690"/>
      <c r="H127" s="690"/>
      <c r="L127" s="691"/>
    </row>
    <row r="128" spans="1:13">
      <c r="A128" s="690"/>
      <c r="B128" s="690"/>
      <c r="C128" s="690"/>
      <c r="D128" s="690"/>
      <c r="E128" s="690"/>
      <c r="H128" s="690"/>
    </row>
    <row r="129" spans="1:8">
      <c r="A129" s="690"/>
      <c r="B129" s="690"/>
      <c r="C129" s="690"/>
      <c r="D129" s="690"/>
      <c r="E129" s="690"/>
      <c r="H129" s="690"/>
    </row>
    <row r="130" spans="1:8">
      <c r="A130" s="690"/>
      <c r="B130" s="690"/>
      <c r="C130" s="690"/>
      <c r="D130" s="690"/>
      <c r="E130" s="690"/>
      <c r="H130" s="690"/>
    </row>
    <row r="131" spans="1:8">
      <c r="A131" s="690"/>
      <c r="B131" s="690"/>
      <c r="C131" s="690"/>
      <c r="D131" s="690"/>
      <c r="E131" s="690"/>
      <c r="H131" s="690"/>
    </row>
    <row r="132" spans="1:8">
      <c r="A132" s="690"/>
      <c r="B132" s="690"/>
      <c r="C132" s="690"/>
      <c r="D132" s="690"/>
      <c r="E132" s="690"/>
      <c r="H132" s="690"/>
    </row>
    <row r="133" spans="1:8">
      <c r="A133" s="690"/>
      <c r="B133" s="690"/>
      <c r="C133" s="690"/>
      <c r="D133" s="690"/>
      <c r="E133" s="690"/>
      <c r="H133" s="690"/>
    </row>
    <row r="134" spans="1:8">
      <c r="A134" s="690"/>
      <c r="B134" s="690"/>
      <c r="C134" s="690"/>
      <c r="D134" s="690"/>
      <c r="E134" s="690"/>
      <c r="H134" s="690"/>
    </row>
    <row r="135" spans="1:8">
      <c r="A135" s="690"/>
      <c r="B135" s="690"/>
      <c r="C135" s="690"/>
      <c r="D135" s="690"/>
      <c r="E135" s="690"/>
      <c r="H135" s="690"/>
    </row>
    <row r="136" spans="1:8">
      <c r="A136" s="690"/>
      <c r="B136" s="690"/>
      <c r="C136" s="690"/>
      <c r="D136" s="690"/>
      <c r="E136" s="690"/>
      <c r="H136" s="690"/>
    </row>
    <row r="137" spans="1:8">
      <c r="A137" s="690"/>
      <c r="B137" s="690"/>
      <c r="C137" s="690"/>
      <c r="D137" s="690"/>
      <c r="E137" s="690"/>
      <c r="H137" s="690"/>
    </row>
    <row r="138" spans="1:8">
      <c r="A138" s="690"/>
      <c r="B138" s="690"/>
      <c r="C138" s="690"/>
      <c r="D138" s="690"/>
      <c r="E138" s="690"/>
      <c r="H138" s="690"/>
    </row>
    <row r="139" spans="1:8">
      <c r="A139" s="690"/>
      <c r="B139" s="690"/>
      <c r="C139" s="690"/>
      <c r="D139" s="690"/>
      <c r="E139" s="690"/>
      <c r="H139" s="690"/>
    </row>
    <row r="140" spans="1:8">
      <c r="A140" s="690"/>
      <c r="B140" s="690"/>
      <c r="C140" s="690"/>
      <c r="D140" s="690"/>
      <c r="E140" s="690"/>
      <c r="H140" s="690"/>
    </row>
    <row r="141" spans="1:8">
      <c r="A141" s="690"/>
      <c r="B141" s="690"/>
      <c r="C141" s="690"/>
      <c r="D141" s="690"/>
      <c r="E141" s="690"/>
      <c r="H141" s="690"/>
    </row>
    <row r="142" spans="1:8">
      <c r="A142" s="690"/>
      <c r="B142" s="690"/>
      <c r="C142" s="690"/>
      <c r="D142" s="690"/>
      <c r="E142" s="690"/>
      <c r="H142" s="690"/>
    </row>
    <row r="143" spans="1:8">
      <c r="A143" s="690"/>
      <c r="B143" s="690"/>
      <c r="C143" s="690"/>
      <c r="D143" s="690"/>
      <c r="E143" s="690"/>
      <c r="H143" s="690"/>
    </row>
    <row r="144" spans="1:8">
      <c r="A144" s="690"/>
      <c r="B144" s="690"/>
      <c r="C144" s="690"/>
      <c r="D144" s="690"/>
      <c r="E144" s="690"/>
      <c r="H144" s="690"/>
    </row>
    <row r="145" spans="1:12">
      <c r="A145" s="690"/>
      <c r="B145" s="690"/>
      <c r="C145" s="690"/>
      <c r="D145" s="690"/>
      <c r="E145" s="690"/>
      <c r="H145" s="690"/>
    </row>
    <row r="146" spans="1:12">
      <c r="A146" s="690"/>
      <c r="B146" s="690"/>
      <c r="C146" s="690"/>
      <c r="D146" s="690"/>
      <c r="E146" s="690"/>
      <c r="H146" s="690"/>
    </row>
    <row r="147" spans="1:12">
      <c r="A147" s="690"/>
      <c r="B147" s="690"/>
      <c r="C147" s="690"/>
      <c r="D147" s="690"/>
      <c r="E147" s="690"/>
      <c r="H147" s="690"/>
    </row>
    <row r="148" spans="1:12">
      <c r="A148" s="690"/>
      <c r="B148" s="690"/>
      <c r="C148" s="690"/>
      <c r="D148" s="690"/>
      <c r="E148" s="690"/>
      <c r="H148" s="690"/>
    </row>
    <row r="149" spans="1:12">
      <c r="A149" s="690"/>
      <c r="B149" s="690"/>
      <c r="C149" s="690"/>
      <c r="D149" s="690"/>
      <c r="E149" s="690"/>
      <c r="H149" s="690"/>
    </row>
    <row r="150" spans="1:12">
      <c r="A150" s="690"/>
      <c r="B150" s="690"/>
      <c r="C150" s="690"/>
      <c r="D150" s="690"/>
      <c r="E150" s="690"/>
      <c r="H150" s="690"/>
    </row>
    <row r="151" spans="1:12">
      <c r="A151" s="690"/>
      <c r="B151" s="690"/>
      <c r="C151" s="690"/>
      <c r="D151" s="690"/>
      <c r="E151" s="690"/>
      <c r="H151" s="690"/>
    </row>
    <row r="152" spans="1:12">
      <c r="A152" s="690"/>
      <c r="B152" s="690"/>
      <c r="C152" s="690"/>
      <c r="D152" s="690"/>
      <c r="E152" s="690"/>
      <c r="H152" s="690"/>
    </row>
    <row r="153" spans="1:12">
      <c r="A153" s="690"/>
      <c r="B153" s="690"/>
      <c r="C153" s="690"/>
      <c r="D153" s="690"/>
      <c r="E153" s="690"/>
      <c r="H153" s="690"/>
    </row>
    <row r="154" spans="1:12">
      <c r="A154" s="690"/>
      <c r="B154" s="690"/>
      <c r="C154" s="690"/>
      <c r="D154" s="690"/>
      <c r="E154" s="690"/>
      <c r="H154" s="690"/>
    </row>
    <row r="155" spans="1:12">
      <c r="A155" s="690"/>
      <c r="B155" s="690"/>
      <c r="C155" s="690"/>
      <c r="D155" s="690"/>
      <c r="E155" s="690"/>
      <c r="H155" s="690"/>
    </row>
    <row r="156" spans="1:12">
      <c r="A156" s="690"/>
      <c r="B156" s="690"/>
      <c r="C156" s="690"/>
      <c r="D156" s="690"/>
      <c r="E156" s="690"/>
      <c r="H156" s="690"/>
    </row>
    <row r="157" spans="1:12">
      <c r="A157" s="690"/>
      <c r="B157" s="690"/>
      <c r="C157" s="690"/>
      <c r="D157" s="690"/>
      <c r="E157" s="690"/>
      <c r="H157" s="690"/>
    </row>
    <row r="158" spans="1:12">
      <c r="A158" s="690"/>
      <c r="B158" s="690"/>
      <c r="C158" s="690"/>
      <c r="D158" s="690"/>
      <c r="E158" s="690"/>
      <c r="H158" s="690"/>
    </row>
    <row r="159" spans="1:12">
      <c r="A159" s="690"/>
      <c r="B159" s="690"/>
      <c r="C159" s="690"/>
      <c r="D159" s="690"/>
      <c r="E159" s="690"/>
      <c r="H159" s="690"/>
      <c r="L159" s="691">
        <f>H159+K159</f>
        <v>0</v>
      </c>
    </row>
    <row r="160" spans="1:12">
      <c r="A160" s="690"/>
      <c r="B160" s="690"/>
      <c r="C160" s="690"/>
      <c r="D160" s="690"/>
      <c r="E160" s="690"/>
      <c r="H160" s="690"/>
    </row>
    <row r="161" spans="1:12">
      <c r="A161" s="690"/>
      <c r="B161" s="690"/>
      <c r="C161" s="690"/>
      <c r="D161" s="690"/>
      <c r="E161" s="690"/>
      <c r="H161" s="690"/>
      <c r="L161" s="691">
        <f>H160+K160</f>
        <v>0</v>
      </c>
    </row>
    <row r="162" spans="1:12">
      <c r="A162" s="690"/>
      <c r="B162" s="690"/>
      <c r="C162" s="690"/>
      <c r="D162" s="690"/>
      <c r="E162" s="690"/>
      <c r="H162" s="690"/>
    </row>
    <row r="163" spans="1:12">
      <c r="A163" s="690"/>
      <c r="B163" s="690"/>
      <c r="C163" s="690"/>
      <c r="D163" s="690"/>
      <c r="E163" s="690"/>
      <c r="H163" s="690"/>
    </row>
    <row r="164" spans="1:12">
      <c r="A164" s="690"/>
      <c r="B164" s="690"/>
      <c r="C164" s="690"/>
      <c r="D164" s="690"/>
      <c r="E164" s="690"/>
      <c r="H164" s="690"/>
    </row>
    <row r="165" spans="1:12">
      <c r="A165" s="690"/>
      <c r="B165" s="690"/>
      <c r="C165" s="690"/>
      <c r="D165" s="690"/>
      <c r="E165" s="690"/>
      <c r="H165" s="690"/>
    </row>
    <row r="166" spans="1:12">
      <c r="A166" s="690"/>
      <c r="B166" s="690"/>
      <c r="C166" s="690"/>
      <c r="D166" s="690"/>
      <c r="E166" s="690"/>
      <c r="H166" s="690"/>
    </row>
    <row r="167" spans="1:12">
      <c r="A167" s="690"/>
      <c r="B167" s="690"/>
      <c r="C167" s="690"/>
      <c r="D167" s="690"/>
      <c r="E167" s="690"/>
      <c r="H167" s="690"/>
    </row>
    <row r="168" spans="1:12">
      <c r="A168" s="690"/>
      <c r="B168" s="690"/>
      <c r="C168" s="690"/>
      <c r="D168" s="690"/>
      <c r="E168" s="690"/>
      <c r="H168" s="690"/>
    </row>
    <row r="169" spans="1:12">
      <c r="A169" s="690"/>
      <c r="B169" s="690"/>
      <c r="C169" s="690"/>
      <c r="D169" s="690"/>
      <c r="E169" s="690"/>
      <c r="H169" s="690"/>
    </row>
    <row r="170" spans="1:12">
      <c r="A170" s="690"/>
      <c r="B170" s="690"/>
      <c r="C170" s="690"/>
      <c r="D170" s="690"/>
      <c r="E170" s="690"/>
      <c r="H170" s="690"/>
    </row>
    <row r="171" spans="1:12">
      <c r="A171" s="690"/>
      <c r="B171" s="690"/>
      <c r="C171" s="690"/>
      <c r="D171" s="690"/>
      <c r="E171" s="690"/>
      <c r="H171" s="690"/>
    </row>
    <row r="172" spans="1:12">
      <c r="A172" s="690"/>
      <c r="B172" s="690"/>
      <c r="C172" s="690"/>
      <c r="D172" s="690"/>
      <c r="E172" s="690"/>
      <c r="H172" s="690"/>
    </row>
    <row r="173" spans="1:12">
      <c r="A173" s="690"/>
      <c r="B173" s="690"/>
      <c r="C173" s="690"/>
      <c r="D173" s="690"/>
      <c r="E173" s="690"/>
      <c r="H173" s="690"/>
      <c r="L173" s="691"/>
    </row>
    <row r="174" spans="1:12">
      <c r="A174" s="690"/>
      <c r="B174" s="690"/>
      <c r="C174" s="690"/>
      <c r="D174" s="690"/>
      <c r="E174" s="690"/>
      <c r="H174" s="690"/>
    </row>
    <row r="175" spans="1:12">
      <c r="A175" s="690"/>
      <c r="B175" s="690"/>
      <c r="C175" s="690"/>
      <c r="D175" s="690"/>
      <c r="E175" s="690"/>
      <c r="H175" s="690"/>
    </row>
    <row r="176" spans="1:12">
      <c r="A176" s="690"/>
      <c r="B176" s="690"/>
      <c r="C176" s="690"/>
      <c r="D176" s="690"/>
      <c r="E176" s="690"/>
      <c r="H176" s="690"/>
    </row>
    <row r="177" spans="1:8">
      <c r="A177" s="690"/>
      <c r="B177" s="690"/>
      <c r="C177" s="690"/>
      <c r="D177" s="690"/>
      <c r="E177" s="690"/>
      <c r="H177" s="690"/>
    </row>
    <row r="178" spans="1:8">
      <c r="A178" s="690"/>
      <c r="B178" s="690"/>
      <c r="C178" s="690"/>
      <c r="D178" s="690"/>
      <c r="E178" s="690"/>
      <c r="H178" s="690"/>
    </row>
    <row r="179" spans="1:8">
      <c r="A179" s="690"/>
      <c r="B179" s="690"/>
      <c r="C179" s="690"/>
      <c r="D179" s="690"/>
      <c r="E179" s="690"/>
      <c r="H179" s="690"/>
    </row>
    <row r="180" spans="1:8">
      <c r="A180" s="690"/>
      <c r="B180" s="690"/>
      <c r="C180" s="690"/>
      <c r="D180" s="690"/>
      <c r="E180" s="690"/>
      <c r="H180" s="690"/>
    </row>
    <row r="181" spans="1:8">
      <c r="A181" s="690"/>
      <c r="B181" s="690"/>
      <c r="C181" s="690"/>
      <c r="D181" s="690"/>
      <c r="E181" s="690"/>
      <c r="H181" s="690"/>
    </row>
    <row r="182" spans="1:8">
      <c r="A182" s="690"/>
      <c r="B182" s="690"/>
      <c r="C182" s="690"/>
      <c r="D182" s="690"/>
      <c r="E182" s="690"/>
      <c r="H182" s="690"/>
    </row>
  </sheetData>
  <mergeCells count="16">
    <mergeCell ref="F78:K78"/>
    <mergeCell ref="I68:K68"/>
    <mergeCell ref="A6:E6"/>
    <mergeCell ref="A7:E7"/>
    <mergeCell ref="E1:K1"/>
    <mergeCell ref="E2:K2"/>
    <mergeCell ref="E3:K3"/>
    <mergeCell ref="E4:K4"/>
    <mergeCell ref="F74:K74"/>
    <mergeCell ref="F75:K75"/>
    <mergeCell ref="F69:G69"/>
    <mergeCell ref="I69:K69"/>
    <mergeCell ref="F70:G70"/>
    <mergeCell ref="I70:K70"/>
    <mergeCell ref="F73:G73"/>
    <mergeCell ref="I73:K73"/>
  </mergeCells>
  <pageMargins left="0.95" right="0" top="0.75" bottom="0.75" header="0.3" footer="0.3"/>
  <pageSetup paperSize="256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B1:U440"/>
  <sheetViews>
    <sheetView workbookViewId="0">
      <selection activeCell="K16" sqref="K16"/>
    </sheetView>
  </sheetViews>
  <sheetFormatPr defaultRowHeight="15"/>
  <cols>
    <col min="1" max="1" width="1.42578125" customWidth="1"/>
    <col min="2" max="2" width="3.5703125" customWidth="1"/>
    <col min="3" max="3" width="6.5703125" customWidth="1"/>
    <col min="4" max="4" width="10.85546875" customWidth="1"/>
    <col min="5" max="5" width="5.140625" customWidth="1"/>
    <col min="6" max="6" width="19.85546875" customWidth="1"/>
    <col min="7" max="7" width="6.7109375" customWidth="1"/>
    <col min="8" max="8" width="5.42578125" customWidth="1"/>
    <col min="10" max="10" width="11.28515625" customWidth="1"/>
    <col min="16" max="16" width="10.85546875" customWidth="1"/>
    <col min="20" max="20" width="11.28515625" customWidth="1"/>
  </cols>
  <sheetData>
    <row r="1" spans="2:20">
      <c r="B1" s="824" t="s">
        <v>54</v>
      </c>
      <c r="C1" s="824"/>
      <c r="D1" s="824"/>
      <c r="E1" s="824"/>
      <c r="F1" s="824"/>
      <c r="G1" s="824"/>
      <c r="H1" s="824"/>
      <c r="I1" s="824"/>
      <c r="J1" s="824"/>
      <c r="L1" s="824" t="s">
        <v>54</v>
      </c>
      <c r="M1" s="824"/>
      <c r="N1" s="824"/>
      <c r="O1" s="824"/>
      <c r="P1" s="824"/>
      <c r="Q1" s="824"/>
      <c r="R1" s="824"/>
      <c r="S1" s="824"/>
      <c r="T1" s="824"/>
    </row>
    <row r="2" spans="2:20">
      <c r="B2" s="824" t="s">
        <v>55</v>
      </c>
      <c r="C2" s="824"/>
      <c r="D2" s="824"/>
      <c r="E2" s="824"/>
      <c r="F2" s="824"/>
      <c r="G2" s="824"/>
      <c r="H2" s="824"/>
      <c r="I2" s="824"/>
      <c r="J2" s="824"/>
      <c r="L2" s="824" t="s">
        <v>55</v>
      </c>
      <c r="M2" s="824"/>
      <c r="N2" s="824"/>
      <c r="O2" s="824"/>
      <c r="P2" s="824"/>
      <c r="Q2" s="824"/>
      <c r="R2" s="824"/>
      <c r="S2" s="824"/>
      <c r="T2" s="824"/>
    </row>
    <row r="3" spans="2:20">
      <c r="B3" s="824" t="s">
        <v>53</v>
      </c>
      <c r="C3" s="824"/>
      <c r="D3" s="824"/>
      <c r="E3" s="824"/>
      <c r="F3" s="824"/>
      <c r="G3" s="824"/>
      <c r="H3" s="824"/>
      <c r="I3" s="824"/>
      <c r="J3" s="824"/>
      <c r="L3" s="824" t="s">
        <v>914</v>
      </c>
      <c r="M3" s="824"/>
      <c r="N3" s="824"/>
      <c r="O3" s="824"/>
      <c r="P3" s="824"/>
      <c r="Q3" s="824"/>
      <c r="R3" s="824"/>
      <c r="S3" s="824"/>
      <c r="T3" s="824"/>
    </row>
    <row r="4" spans="2:20">
      <c r="B4" s="77"/>
      <c r="C4" s="78"/>
      <c r="D4" s="78"/>
      <c r="E4" s="77"/>
      <c r="F4" s="77"/>
      <c r="G4" s="79"/>
      <c r="H4" s="79"/>
      <c r="I4" s="80"/>
      <c r="J4" s="80"/>
      <c r="L4" s="525"/>
      <c r="M4" s="525"/>
      <c r="N4" s="525"/>
      <c r="O4" s="525"/>
      <c r="P4" s="525"/>
      <c r="Q4" s="525"/>
      <c r="R4" s="525"/>
      <c r="S4" s="525"/>
      <c r="T4" s="525"/>
    </row>
    <row r="5" spans="2:20">
      <c r="B5" s="78">
        <v>1</v>
      </c>
      <c r="C5" s="249" t="s">
        <v>172</v>
      </c>
      <c r="D5" s="249"/>
      <c r="E5" s="249" t="s">
        <v>474</v>
      </c>
      <c r="F5" s="249"/>
      <c r="G5" s="81"/>
      <c r="H5" s="81"/>
      <c r="I5" s="82"/>
      <c r="J5" s="82"/>
      <c r="L5" s="78">
        <v>1</v>
      </c>
      <c r="M5" s="249" t="s">
        <v>172</v>
      </c>
      <c r="N5" s="249"/>
      <c r="O5" s="249" t="s">
        <v>474</v>
      </c>
      <c r="P5" s="249"/>
      <c r="Q5" s="31"/>
      <c r="R5" s="534"/>
      <c r="S5" s="525"/>
      <c r="T5" s="525"/>
    </row>
    <row r="6" spans="2:20" ht="29.25" customHeight="1">
      <c r="B6" s="78">
        <v>2</v>
      </c>
      <c r="C6" s="249" t="s">
        <v>173</v>
      </c>
      <c r="D6" s="249"/>
      <c r="E6" s="825" t="s">
        <v>476</v>
      </c>
      <c r="F6" s="825"/>
      <c r="G6" s="825"/>
      <c r="H6" s="825"/>
      <c r="I6" s="825"/>
      <c r="J6" s="82"/>
      <c r="L6" s="78">
        <v>2</v>
      </c>
      <c r="M6" s="249" t="s">
        <v>173</v>
      </c>
      <c r="N6" s="249"/>
      <c r="O6" s="249" t="s">
        <v>475</v>
      </c>
      <c r="P6" s="249"/>
      <c r="Q6" s="31"/>
      <c r="R6" s="534"/>
      <c r="S6" s="525"/>
      <c r="T6" s="525"/>
    </row>
    <row r="7" spans="2:20">
      <c r="B7" s="78">
        <v>3</v>
      </c>
      <c r="C7" s="249" t="s">
        <v>174</v>
      </c>
      <c r="D7" s="249"/>
      <c r="E7" s="249" t="s">
        <v>910</v>
      </c>
      <c r="F7" s="249"/>
      <c r="G7" s="81"/>
      <c r="H7" s="81"/>
      <c r="I7" s="82"/>
      <c r="J7" s="82"/>
      <c r="L7" s="78">
        <v>3</v>
      </c>
      <c r="M7" s="249" t="s">
        <v>174</v>
      </c>
      <c r="N7" s="249"/>
      <c r="O7" s="249" t="s">
        <v>473</v>
      </c>
      <c r="P7" s="249"/>
      <c r="Q7" s="31"/>
      <c r="R7" s="534"/>
      <c r="S7" s="525"/>
      <c r="T7" s="525"/>
    </row>
    <row r="8" spans="2:20">
      <c r="B8" s="78">
        <v>4</v>
      </c>
      <c r="C8" s="249" t="s">
        <v>183</v>
      </c>
      <c r="D8" s="249"/>
      <c r="E8" s="249" t="s">
        <v>213</v>
      </c>
      <c r="F8" s="250"/>
      <c r="G8" s="81"/>
      <c r="H8" s="81"/>
      <c r="I8" s="82"/>
      <c r="J8" s="82"/>
      <c r="L8" s="78">
        <v>4</v>
      </c>
      <c r="M8" s="249" t="s">
        <v>183</v>
      </c>
      <c r="N8" s="249"/>
      <c r="O8" s="249" t="s">
        <v>213</v>
      </c>
      <c r="P8" s="250"/>
      <c r="Q8" s="31"/>
      <c r="R8" s="534"/>
      <c r="S8" s="525"/>
      <c r="T8" s="525"/>
    </row>
    <row r="9" spans="2:20">
      <c r="B9" s="78">
        <v>5</v>
      </c>
      <c r="C9" s="249" t="s">
        <v>184</v>
      </c>
      <c r="D9" s="249"/>
      <c r="E9" s="249" t="s">
        <v>236</v>
      </c>
      <c r="F9" s="251">
        <f>J15</f>
        <v>541095840</v>
      </c>
      <c r="G9" s="81"/>
      <c r="H9" s="81"/>
      <c r="I9" s="82"/>
      <c r="J9" s="82"/>
      <c r="L9" s="78">
        <v>5</v>
      </c>
      <c r="M9" s="249" t="s">
        <v>184</v>
      </c>
      <c r="N9" s="249"/>
      <c r="O9" s="249" t="s">
        <v>236</v>
      </c>
      <c r="P9" s="251" t="e">
        <f>APBDes2017!#REF!</f>
        <v>#REF!</v>
      </c>
      <c r="Q9" s="31"/>
      <c r="R9" s="534"/>
      <c r="S9" s="525"/>
      <c r="T9" s="525"/>
    </row>
    <row r="10" spans="2:20">
      <c r="B10" s="78">
        <v>6</v>
      </c>
      <c r="C10" s="249" t="s">
        <v>234</v>
      </c>
      <c r="D10" s="249"/>
      <c r="E10" s="249" t="s">
        <v>236</v>
      </c>
      <c r="F10" s="251">
        <f>J15</f>
        <v>541095840</v>
      </c>
      <c r="G10" s="81"/>
      <c r="H10" s="81"/>
      <c r="I10" s="82"/>
      <c r="J10" s="82"/>
      <c r="L10" s="78">
        <v>6</v>
      </c>
      <c r="M10" s="249" t="s">
        <v>234</v>
      </c>
      <c r="N10" s="249"/>
      <c r="O10" s="249" t="s">
        <v>236</v>
      </c>
      <c r="P10" s="251">
        <f>T15</f>
        <v>78781296</v>
      </c>
      <c r="Q10" s="31"/>
      <c r="R10" s="534"/>
      <c r="S10" s="80"/>
      <c r="T10" s="80"/>
    </row>
    <row r="11" spans="2:20">
      <c r="B11" s="78">
        <v>7</v>
      </c>
      <c r="C11" s="249" t="s">
        <v>194</v>
      </c>
      <c r="D11" s="249"/>
      <c r="E11" s="249"/>
      <c r="F11" s="249"/>
      <c r="G11" s="194"/>
      <c r="H11" s="81"/>
      <c r="I11" s="82"/>
      <c r="J11" s="82"/>
      <c r="L11" s="78">
        <v>7</v>
      </c>
      <c r="M11" s="249" t="s">
        <v>194</v>
      </c>
      <c r="N11" s="249"/>
      <c r="O11" s="249"/>
      <c r="P11" s="249"/>
      <c r="Q11" s="31"/>
      <c r="R11" s="534"/>
      <c r="S11" s="82"/>
      <c r="T11" s="82"/>
    </row>
    <row r="12" spans="2:20" ht="24">
      <c r="B12" s="77"/>
      <c r="C12" s="827" t="s">
        <v>56</v>
      </c>
      <c r="D12" s="828" t="s">
        <v>0</v>
      </c>
      <c r="E12" s="829"/>
      <c r="F12" s="830"/>
      <c r="G12" s="829" t="s">
        <v>57</v>
      </c>
      <c r="H12" s="829"/>
      <c r="I12" s="83" t="s">
        <v>58</v>
      </c>
      <c r="J12" s="83" t="s">
        <v>59</v>
      </c>
      <c r="L12" s="77"/>
      <c r="M12" s="827" t="s">
        <v>56</v>
      </c>
      <c r="N12" s="828" t="s">
        <v>0</v>
      </c>
      <c r="O12" s="829"/>
      <c r="P12" s="830"/>
      <c r="Q12" s="829" t="s">
        <v>57</v>
      </c>
      <c r="R12" s="829"/>
      <c r="S12" s="83" t="s">
        <v>58</v>
      </c>
      <c r="T12" s="83" t="s">
        <v>59</v>
      </c>
    </row>
    <row r="13" spans="2:20">
      <c r="B13" s="77"/>
      <c r="C13" s="827"/>
      <c r="D13" s="831"/>
      <c r="E13" s="832"/>
      <c r="F13" s="833"/>
      <c r="G13" s="832"/>
      <c r="H13" s="832"/>
      <c r="I13" s="84" t="s">
        <v>52</v>
      </c>
      <c r="J13" s="84" t="s">
        <v>247</v>
      </c>
      <c r="L13" s="77"/>
      <c r="M13" s="827"/>
      <c r="N13" s="831"/>
      <c r="O13" s="832"/>
      <c r="P13" s="833"/>
      <c r="Q13" s="832"/>
      <c r="R13" s="832"/>
      <c r="S13" s="84" t="s">
        <v>52</v>
      </c>
      <c r="T13" s="84" t="s">
        <v>247</v>
      </c>
    </row>
    <row r="14" spans="2:20">
      <c r="B14" s="77"/>
      <c r="C14" s="526">
        <v>1</v>
      </c>
      <c r="D14" s="814">
        <v>2</v>
      </c>
      <c r="E14" s="815"/>
      <c r="F14" s="816"/>
      <c r="G14" s="815">
        <v>3</v>
      </c>
      <c r="H14" s="815"/>
      <c r="I14" s="85">
        <v>4</v>
      </c>
      <c r="J14" s="85">
        <v>4</v>
      </c>
      <c r="L14" s="77"/>
      <c r="M14" s="526">
        <v>1</v>
      </c>
      <c r="N14" s="814">
        <v>2</v>
      </c>
      <c r="O14" s="815"/>
      <c r="P14" s="816"/>
      <c r="Q14" s="815">
        <v>3</v>
      </c>
      <c r="R14" s="815"/>
      <c r="S14" s="85">
        <v>4</v>
      </c>
      <c r="T14" s="85">
        <v>4</v>
      </c>
    </row>
    <row r="15" spans="2:20" ht="39.75" customHeight="1">
      <c r="B15" s="77"/>
      <c r="C15" s="86" t="s">
        <v>411</v>
      </c>
      <c r="D15" s="943" t="s">
        <v>139</v>
      </c>
      <c r="E15" s="944"/>
      <c r="F15" s="945"/>
      <c r="G15" s="821"/>
      <c r="H15" s="821"/>
      <c r="I15" s="87"/>
      <c r="J15" s="536">
        <f>SUM(J16+J43+J70+J93+J113+J137+J159+J178+J200+J219+J238+J264+J290+J317+J341+J364+J387+J406)</f>
        <v>541095840</v>
      </c>
      <c r="L15" s="77"/>
      <c r="M15" s="86" t="s">
        <v>410</v>
      </c>
      <c r="N15" s="820" t="s">
        <v>136</v>
      </c>
      <c r="O15" s="820"/>
      <c r="P15" s="820"/>
      <c r="Q15" s="821"/>
      <c r="R15" s="821"/>
      <c r="S15" s="87"/>
      <c r="T15" s="264">
        <f>SUM(T16+T33+T48)</f>
        <v>78781296</v>
      </c>
    </row>
    <row r="16" spans="2:20" ht="27.75" customHeight="1">
      <c r="B16" s="77"/>
      <c r="C16" s="86" t="s">
        <v>415</v>
      </c>
      <c r="D16" s="820" t="s">
        <v>769</v>
      </c>
      <c r="E16" s="820"/>
      <c r="F16" s="820"/>
      <c r="G16" s="933" t="s">
        <v>770</v>
      </c>
      <c r="H16" s="934"/>
      <c r="I16" s="87"/>
      <c r="J16" s="264">
        <f>SUM(J17+J33)</f>
        <v>68582460</v>
      </c>
      <c r="L16" s="77"/>
      <c r="M16" s="88">
        <v>2</v>
      </c>
      <c r="N16" s="820" t="s">
        <v>34</v>
      </c>
      <c r="O16" s="820"/>
      <c r="P16" s="820"/>
      <c r="Q16" s="533" t="s">
        <v>218</v>
      </c>
      <c r="R16" s="532" t="s">
        <v>219</v>
      </c>
      <c r="S16" s="89"/>
      <c r="T16" s="99">
        <f>SUM(T17:T32)</f>
        <v>26221800</v>
      </c>
    </row>
    <row r="17" spans="2:20">
      <c r="B17" s="77"/>
      <c r="C17" s="88">
        <v>2</v>
      </c>
      <c r="D17" s="820" t="s">
        <v>34</v>
      </c>
      <c r="E17" s="820"/>
      <c r="F17" s="820"/>
      <c r="G17" s="532" t="s">
        <v>630</v>
      </c>
      <c r="H17" s="532" t="s">
        <v>631</v>
      </c>
      <c r="I17" s="89"/>
      <c r="J17" s="99">
        <f>SUM(J18:J32)</f>
        <v>17217500</v>
      </c>
      <c r="L17" s="77"/>
      <c r="M17" s="91"/>
      <c r="N17" s="822" t="s">
        <v>214</v>
      </c>
      <c r="O17" s="822"/>
      <c r="P17" s="822"/>
      <c r="Q17" s="532">
        <v>1</v>
      </c>
      <c r="R17" s="532" t="s">
        <v>404</v>
      </c>
      <c r="S17" s="92">
        <v>500000</v>
      </c>
      <c r="T17" s="92">
        <f>SUM(Q17*S17)</f>
        <v>500000</v>
      </c>
    </row>
    <row r="18" spans="2:20">
      <c r="B18" s="77"/>
      <c r="C18" s="91"/>
      <c r="D18" s="822" t="s">
        <v>214</v>
      </c>
      <c r="E18" s="822"/>
      <c r="F18" s="822"/>
      <c r="G18" s="266">
        <v>1</v>
      </c>
      <c r="H18" s="266" t="s">
        <v>233</v>
      </c>
      <c r="I18" s="92">
        <v>500000</v>
      </c>
      <c r="J18" s="92">
        <f>G18*I18</f>
        <v>500000</v>
      </c>
      <c r="L18" s="77"/>
      <c r="M18" s="91"/>
      <c r="N18" s="823" t="s">
        <v>41</v>
      </c>
      <c r="O18" s="823"/>
      <c r="P18" s="823"/>
      <c r="Q18" s="197"/>
      <c r="R18" s="197"/>
      <c r="S18" s="92">
        <v>5496000</v>
      </c>
      <c r="T18" s="92"/>
    </row>
    <row r="19" spans="2:20">
      <c r="B19" s="77"/>
      <c r="C19" s="91"/>
      <c r="D19" s="823" t="s">
        <v>41</v>
      </c>
      <c r="E19" s="823"/>
      <c r="F19" s="925"/>
      <c r="G19" s="942">
        <v>4310000</v>
      </c>
      <c r="H19" s="942"/>
      <c r="I19" s="89"/>
      <c r="J19" s="92"/>
      <c r="L19" s="77"/>
      <c r="M19" s="91"/>
      <c r="N19" s="835" t="s">
        <v>207</v>
      </c>
      <c r="O19" s="835"/>
      <c r="P19" s="835"/>
      <c r="Q19" s="532">
        <v>1</v>
      </c>
      <c r="R19" s="532" t="s">
        <v>64</v>
      </c>
      <c r="S19" s="92">
        <f>S18*Q19*25%</f>
        <v>1374000</v>
      </c>
      <c r="T19" s="92">
        <f t="shared" ref="T19:T29" si="0">Q19*S19</f>
        <v>1374000</v>
      </c>
    </row>
    <row r="20" spans="2:20">
      <c r="B20" s="77"/>
      <c r="C20" s="91"/>
      <c r="D20" s="835" t="s">
        <v>207</v>
      </c>
      <c r="E20" s="835"/>
      <c r="F20" s="835"/>
      <c r="G20" s="267">
        <v>1</v>
      </c>
      <c r="H20" s="267" t="s">
        <v>64</v>
      </c>
      <c r="I20" s="92">
        <f>G19*25%</f>
        <v>1077500</v>
      </c>
      <c r="J20" s="92">
        <f>SUM(G20*I20)</f>
        <v>1077500</v>
      </c>
      <c r="L20" s="77"/>
      <c r="M20" s="91"/>
      <c r="N20" s="835" t="s">
        <v>67</v>
      </c>
      <c r="O20" s="835"/>
      <c r="P20" s="835"/>
      <c r="Q20" s="532">
        <v>1</v>
      </c>
      <c r="R20" s="532" t="s">
        <v>64</v>
      </c>
      <c r="S20" s="92">
        <f>S18*15%</f>
        <v>824400</v>
      </c>
      <c r="T20" s="92">
        <f t="shared" si="0"/>
        <v>824400</v>
      </c>
    </row>
    <row r="21" spans="2:20">
      <c r="B21" s="77"/>
      <c r="C21" s="91"/>
      <c r="D21" s="835" t="s">
        <v>695</v>
      </c>
      <c r="E21" s="835"/>
      <c r="F21" s="835"/>
      <c r="G21" s="532">
        <v>1</v>
      </c>
      <c r="H21" s="532" t="s">
        <v>64</v>
      </c>
      <c r="I21" s="92">
        <f>G19*15%</f>
        <v>646500</v>
      </c>
      <c r="J21" s="92">
        <f>SUM(G21*I21)</f>
        <v>646500</v>
      </c>
      <c r="L21" s="77"/>
      <c r="M21" s="91"/>
      <c r="N21" s="835" t="s">
        <v>70</v>
      </c>
      <c r="O21" s="835"/>
      <c r="P21" s="835"/>
      <c r="Q21" s="532">
        <v>7</v>
      </c>
      <c r="R21" s="532" t="s">
        <v>64</v>
      </c>
      <c r="S21" s="92">
        <f>S18*60%/Q21</f>
        <v>471085.71428571426</v>
      </c>
      <c r="T21" s="92">
        <f t="shared" si="0"/>
        <v>3297600</v>
      </c>
    </row>
    <row r="22" spans="2:20">
      <c r="B22" s="77"/>
      <c r="C22" s="91"/>
      <c r="D22" s="835" t="s">
        <v>70</v>
      </c>
      <c r="E22" s="835"/>
      <c r="F22" s="835"/>
      <c r="G22" s="532">
        <v>6</v>
      </c>
      <c r="H22" s="532" t="s">
        <v>64</v>
      </c>
      <c r="I22" s="92">
        <f>G19*60%/6</f>
        <v>431000</v>
      </c>
      <c r="J22" s="92">
        <f>SUM(G22*I22)</f>
        <v>2586000</v>
      </c>
      <c r="L22" s="77"/>
      <c r="M22" s="91"/>
      <c r="N22" s="902" t="s">
        <v>717</v>
      </c>
      <c r="O22" s="900"/>
      <c r="P22" s="901"/>
      <c r="Q22" s="532">
        <v>2</v>
      </c>
      <c r="R22" s="532" t="s">
        <v>217</v>
      </c>
      <c r="S22" s="92">
        <v>75000</v>
      </c>
      <c r="T22" s="92">
        <f t="shared" si="0"/>
        <v>150000</v>
      </c>
    </row>
    <row r="23" spans="2:20">
      <c r="B23" s="77"/>
      <c r="C23" s="91"/>
      <c r="D23" s="836" t="s">
        <v>215</v>
      </c>
      <c r="E23" s="836"/>
      <c r="F23" s="836"/>
      <c r="G23" s="532">
        <v>1</v>
      </c>
      <c r="H23" s="532" t="s">
        <v>217</v>
      </c>
      <c r="I23" s="92">
        <v>150000</v>
      </c>
      <c r="J23" s="92">
        <f>SUM(G23*I23)</f>
        <v>150000</v>
      </c>
      <c r="L23" s="77"/>
      <c r="M23" s="91"/>
      <c r="N23" s="902" t="s">
        <v>718</v>
      </c>
      <c r="O23" s="900"/>
      <c r="P23" s="901"/>
      <c r="Q23" s="532">
        <v>2</v>
      </c>
      <c r="R23" s="532" t="s">
        <v>721</v>
      </c>
      <c r="S23" s="92">
        <v>75000</v>
      </c>
      <c r="T23" s="92">
        <f t="shared" si="0"/>
        <v>150000</v>
      </c>
    </row>
    <row r="24" spans="2:20">
      <c r="B24" s="77"/>
      <c r="C24" s="91"/>
      <c r="D24" s="836" t="s">
        <v>216</v>
      </c>
      <c r="E24" s="836"/>
      <c r="F24" s="836"/>
      <c r="G24" s="532">
        <v>1</v>
      </c>
      <c r="H24" s="532" t="s">
        <v>217</v>
      </c>
      <c r="I24" s="92">
        <v>50000</v>
      </c>
      <c r="J24" s="92">
        <f t="shared" ref="J24:J32" si="1">SUM(G24*I24)</f>
        <v>50000</v>
      </c>
      <c r="L24" s="77"/>
      <c r="M24" s="91"/>
      <c r="N24" s="902" t="s">
        <v>719</v>
      </c>
      <c r="O24" s="900"/>
      <c r="P24" s="901"/>
      <c r="Q24" s="532">
        <v>10</v>
      </c>
      <c r="R24" s="532" t="s">
        <v>217</v>
      </c>
      <c r="S24" s="92">
        <v>14500</v>
      </c>
      <c r="T24" s="92">
        <f t="shared" si="0"/>
        <v>145000</v>
      </c>
    </row>
    <row r="25" spans="2:20">
      <c r="B25" s="77"/>
      <c r="C25" s="91"/>
      <c r="D25" s="837" t="s">
        <v>628</v>
      </c>
      <c r="E25" s="838"/>
      <c r="F25" s="839"/>
      <c r="G25" s="532">
        <v>69</v>
      </c>
      <c r="H25" s="532" t="s">
        <v>644</v>
      </c>
      <c r="I25" s="92">
        <v>60000</v>
      </c>
      <c r="J25" s="92">
        <f t="shared" si="1"/>
        <v>4140000</v>
      </c>
      <c r="L25" s="77"/>
      <c r="M25" s="91"/>
      <c r="N25" s="516" t="s">
        <v>767</v>
      </c>
      <c r="O25" s="520"/>
      <c r="P25" s="521"/>
      <c r="Q25" s="532">
        <v>3</v>
      </c>
      <c r="R25" s="532" t="s">
        <v>217</v>
      </c>
      <c r="S25" s="92">
        <v>25000</v>
      </c>
      <c r="T25" s="92">
        <f t="shared" si="0"/>
        <v>75000</v>
      </c>
    </row>
    <row r="26" spans="2:20">
      <c r="B26" s="77"/>
      <c r="C26" s="94"/>
      <c r="D26" s="836" t="s">
        <v>642</v>
      </c>
      <c r="E26" s="836"/>
      <c r="F26" s="836"/>
      <c r="G26" s="532">
        <v>18</v>
      </c>
      <c r="H26" s="532" t="s">
        <v>644</v>
      </c>
      <c r="I26" s="95">
        <v>70000</v>
      </c>
      <c r="J26" s="92">
        <f t="shared" si="1"/>
        <v>1260000</v>
      </c>
      <c r="L26" s="77"/>
      <c r="M26" s="91"/>
      <c r="N26" s="902" t="s">
        <v>720</v>
      </c>
      <c r="O26" s="900"/>
      <c r="P26" s="901"/>
      <c r="Q26" s="532">
        <v>2</v>
      </c>
      <c r="R26" s="532" t="s">
        <v>217</v>
      </c>
      <c r="S26" s="92">
        <v>75000</v>
      </c>
      <c r="T26" s="92">
        <f t="shared" si="0"/>
        <v>150000</v>
      </c>
    </row>
    <row r="27" spans="2:20">
      <c r="B27" s="77"/>
      <c r="C27" s="94"/>
      <c r="D27" s="837" t="s">
        <v>773</v>
      </c>
      <c r="E27" s="838"/>
      <c r="F27" s="839"/>
      <c r="G27" s="532">
        <v>72</v>
      </c>
      <c r="H27" s="532" t="s">
        <v>644</v>
      </c>
      <c r="I27" s="95">
        <v>60000</v>
      </c>
      <c r="J27" s="92">
        <f t="shared" si="1"/>
        <v>4320000</v>
      </c>
      <c r="L27" s="77"/>
      <c r="M27" s="91"/>
      <c r="N27" s="902" t="s">
        <v>716</v>
      </c>
      <c r="O27" s="915"/>
      <c r="P27" s="916"/>
      <c r="Q27" s="532">
        <v>34</v>
      </c>
      <c r="R27" s="532" t="s">
        <v>722</v>
      </c>
      <c r="S27" s="92">
        <v>19000</v>
      </c>
      <c r="T27" s="92">
        <f t="shared" si="0"/>
        <v>646000</v>
      </c>
    </row>
    <row r="28" spans="2:20">
      <c r="B28" s="77"/>
      <c r="C28" s="94"/>
      <c r="D28" s="837" t="s">
        <v>777</v>
      </c>
      <c r="E28" s="838"/>
      <c r="F28" s="839"/>
      <c r="G28" s="532">
        <v>14.88</v>
      </c>
      <c r="H28" s="532" t="s">
        <v>644</v>
      </c>
      <c r="I28" s="95">
        <v>60000</v>
      </c>
      <c r="J28" s="92">
        <f t="shared" si="1"/>
        <v>892800</v>
      </c>
      <c r="L28" s="77"/>
      <c r="M28" s="91"/>
      <c r="N28" s="836" t="s">
        <v>215</v>
      </c>
      <c r="O28" s="836"/>
      <c r="P28" s="836"/>
      <c r="Q28" s="532">
        <v>1</v>
      </c>
      <c r="R28" s="532" t="s">
        <v>403</v>
      </c>
      <c r="S28" s="92">
        <v>150000</v>
      </c>
      <c r="T28" s="92">
        <f t="shared" si="0"/>
        <v>150000</v>
      </c>
    </row>
    <row r="29" spans="2:20">
      <c r="B29" s="77"/>
      <c r="C29" s="94"/>
      <c r="D29" s="837" t="s">
        <v>720</v>
      </c>
      <c r="E29" s="838"/>
      <c r="F29" s="839"/>
      <c r="G29" s="532">
        <v>2</v>
      </c>
      <c r="H29" s="532" t="s">
        <v>217</v>
      </c>
      <c r="I29" s="95">
        <v>75000</v>
      </c>
      <c r="J29" s="92">
        <f t="shared" si="1"/>
        <v>150000</v>
      </c>
      <c r="L29" s="77"/>
      <c r="M29" s="91"/>
      <c r="N29" s="836" t="s">
        <v>216</v>
      </c>
      <c r="O29" s="836"/>
      <c r="P29" s="836"/>
      <c r="Q29" s="532">
        <v>1</v>
      </c>
      <c r="R29" s="532" t="s">
        <v>217</v>
      </c>
      <c r="S29" s="97">
        <v>100000</v>
      </c>
      <c r="T29" s="92">
        <f t="shared" si="0"/>
        <v>100000</v>
      </c>
    </row>
    <row r="30" spans="2:20">
      <c r="B30" s="77"/>
      <c r="C30" s="94"/>
      <c r="D30" s="837" t="s">
        <v>750</v>
      </c>
      <c r="E30" s="838"/>
      <c r="F30" s="839"/>
      <c r="G30" s="532">
        <v>3</v>
      </c>
      <c r="H30" s="532" t="s">
        <v>217</v>
      </c>
      <c r="I30" s="95">
        <v>25000</v>
      </c>
      <c r="J30" s="92">
        <f t="shared" si="1"/>
        <v>75000</v>
      </c>
      <c r="L30" s="77"/>
      <c r="M30" s="91"/>
      <c r="N30" s="836" t="s">
        <v>698</v>
      </c>
      <c r="O30" s="836"/>
      <c r="P30" s="836"/>
      <c r="Q30" s="252">
        <v>79.069999999999993</v>
      </c>
      <c r="R30" s="532" t="s">
        <v>644</v>
      </c>
      <c r="S30" s="97">
        <v>60000</v>
      </c>
      <c r="T30" s="92">
        <f>SUM(Q30*S30)</f>
        <v>4744200</v>
      </c>
    </row>
    <row r="31" spans="2:20">
      <c r="B31" s="77"/>
      <c r="C31" s="94"/>
      <c r="D31" s="837" t="s">
        <v>719</v>
      </c>
      <c r="E31" s="838"/>
      <c r="F31" s="839"/>
      <c r="G31" s="532">
        <v>5</v>
      </c>
      <c r="H31" s="532" t="s">
        <v>217</v>
      </c>
      <c r="I31" s="95">
        <v>14500</v>
      </c>
      <c r="J31" s="92">
        <f t="shared" si="1"/>
        <v>72500</v>
      </c>
      <c r="L31" s="77"/>
      <c r="M31" s="91"/>
      <c r="N31" s="837" t="s">
        <v>642</v>
      </c>
      <c r="O31" s="838"/>
      <c r="P31" s="839"/>
      <c r="Q31" s="252">
        <v>37</v>
      </c>
      <c r="R31" s="532" t="s">
        <v>644</v>
      </c>
      <c r="S31" s="97">
        <v>70000</v>
      </c>
      <c r="T31" s="92">
        <f>SUM(Q31*S31)</f>
        <v>2590000</v>
      </c>
    </row>
    <row r="32" spans="2:20">
      <c r="B32" s="77"/>
      <c r="C32" s="94"/>
      <c r="D32" s="837" t="s">
        <v>715</v>
      </c>
      <c r="E32" s="838"/>
      <c r="F32" s="839"/>
      <c r="G32" s="532">
        <v>47</v>
      </c>
      <c r="H32" s="532" t="s">
        <v>699</v>
      </c>
      <c r="I32" s="95">
        <v>27600</v>
      </c>
      <c r="J32" s="92">
        <f t="shared" si="1"/>
        <v>1297200</v>
      </c>
      <c r="L32" s="77"/>
      <c r="M32" s="91"/>
      <c r="N32" s="836" t="s">
        <v>766</v>
      </c>
      <c r="O32" s="836"/>
      <c r="P32" s="836"/>
      <c r="Q32" s="252">
        <v>188.76</v>
      </c>
      <c r="R32" s="532" t="s">
        <v>644</v>
      </c>
      <c r="S32" s="97">
        <v>60000</v>
      </c>
      <c r="T32" s="92">
        <f>SUM(Q32*S32)</f>
        <v>11325600</v>
      </c>
    </row>
    <row r="33" spans="2:20">
      <c r="B33" s="77"/>
      <c r="C33" s="96">
        <v>3</v>
      </c>
      <c r="D33" s="813" t="s">
        <v>32</v>
      </c>
      <c r="E33" s="813"/>
      <c r="F33" s="813"/>
      <c r="G33" s="519"/>
      <c r="H33" s="519"/>
      <c r="I33" s="97"/>
      <c r="J33" s="98">
        <f>SUM(J34:J41)</f>
        <v>51364960</v>
      </c>
      <c r="L33" s="77"/>
      <c r="M33" s="96">
        <v>3</v>
      </c>
      <c r="N33" s="813" t="s">
        <v>32</v>
      </c>
      <c r="O33" s="813"/>
      <c r="P33" s="917"/>
      <c r="Q33" s="181"/>
      <c r="R33" s="181"/>
      <c r="S33" s="106"/>
      <c r="T33" s="133">
        <f>SUM(T34:T48)</f>
        <v>52559496</v>
      </c>
    </row>
    <row r="34" spans="2:20">
      <c r="B34" s="77"/>
      <c r="C34" s="94"/>
      <c r="D34" s="834" t="s">
        <v>774</v>
      </c>
      <c r="E34" s="835"/>
      <c r="F34" s="835"/>
      <c r="G34" s="532">
        <v>480</v>
      </c>
      <c r="H34" s="532" t="s">
        <v>217</v>
      </c>
      <c r="I34" s="97">
        <v>45000</v>
      </c>
      <c r="J34" s="97">
        <f>G34*I34</f>
        <v>21600000</v>
      </c>
      <c r="L34" s="77"/>
      <c r="M34" s="91"/>
      <c r="N34" s="903" t="s">
        <v>700</v>
      </c>
      <c r="O34" s="904"/>
      <c r="P34" s="904"/>
      <c r="Q34" s="532">
        <v>3</v>
      </c>
      <c r="R34" s="532" t="s">
        <v>406</v>
      </c>
      <c r="S34" s="97">
        <v>220400</v>
      </c>
      <c r="T34" s="97">
        <f t="shared" ref="T34:T47" si="2">SUM(Q34*S34)</f>
        <v>661200</v>
      </c>
    </row>
    <row r="35" spans="2:20">
      <c r="B35" s="77"/>
      <c r="C35" s="94"/>
      <c r="D35" s="834" t="s">
        <v>703</v>
      </c>
      <c r="E35" s="835"/>
      <c r="F35" s="835"/>
      <c r="G35" s="94">
        <v>1452</v>
      </c>
      <c r="H35" s="94" t="s">
        <v>102</v>
      </c>
      <c r="I35" s="97">
        <v>800</v>
      </c>
      <c r="J35" s="97">
        <f t="shared" ref="J35:J41" si="3">G35*I35</f>
        <v>1161600</v>
      </c>
      <c r="L35" s="77"/>
      <c r="M35" s="94"/>
      <c r="N35" s="836" t="s">
        <v>701</v>
      </c>
      <c r="O35" s="836"/>
      <c r="P35" s="837"/>
      <c r="Q35" s="532">
        <v>9</v>
      </c>
      <c r="R35" s="532" t="s">
        <v>406</v>
      </c>
      <c r="S35" s="97">
        <v>300000</v>
      </c>
      <c r="T35" s="97">
        <f t="shared" si="2"/>
        <v>2700000</v>
      </c>
    </row>
    <row r="36" spans="2:20">
      <c r="B36" s="77"/>
      <c r="C36" s="94"/>
      <c r="D36" s="834" t="s">
        <v>700</v>
      </c>
      <c r="E36" s="835"/>
      <c r="F36" s="835"/>
      <c r="G36" s="532">
        <v>2</v>
      </c>
      <c r="H36" s="532" t="s">
        <v>241</v>
      </c>
      <c r="I36" s="97">
        <v>220000</v>
      </c>
      <c r="J36" s="97">
        <f t="shared" si="3"/>
        <v>440000</v>
      </c>
      <c r="L36" s="77"/>
      <c r="M36" s="94"/>
      <c r="N36" s="837" t="s">
        <v>702</v>
      </c>
      <c r="O36" s="907"/>
      <c r="P36" s="908"/>
      <c r="Q36" s="252">
        <v>57.99</v>
      </c>
      <c r="R36" s="532" t="s">
        <v>406</v>
      </c>
      <c r="S36" s="97">
        <v>220400</v>
      </c>
      <c r="T36" s="97">
        <f t="shared" si="2"/>
        <v>12780996</v>
      </c>
    </row>
    <row r="37" spans="2:20">
      <c r="B37" s="77"/>
      <c r="C37" s="94"/>
      <c r="D37" s="834" t="s">
        <v>758</v>
      </c>
      <c r="E37" s="835"/>
      <c r="F37" s="835"/>
      <c r="G37" s="532">
        <v>157</v>
      </c>
      <c r="H37" s="532" t="s">
        <v>288</v>
      </c>
      <c r="I37" s="97">
        <v>75000</v>
      </c>
      <c r="J37" s="97">
        <f t="shared" si="3"/>
        <v>11775000</v>
      </c>
      <c r="L37" s="77"/>
      <c r="M37" s="94"/>
      <c r="N37" s="837" t="s">
        <v>703</v>
      </c>
      <c r="O37" s="907"/>
      <c r="P37" s="908"/>
      <c r="Q37" s="532">
        <v>3738</v>
      </c>
      <c r="R37" s="532" t="s">
        <v>102</v>
      </c>
      <c r="S37" s="97">
        <v>800</v>
      </c>
      <c r="T37" s="97">
        <f t="shared" si="2"/>
        <v>2990400</v>
      </c>
    </row>
    <row r="38" spans="2:20">
      <c r="B38" s="77"/>
      <c r="C38" s="94"/>
      <c r="D38" s="834" t="s">
        <v>701</v>
      </c>
      <c r="E38" s="835"/>
      <c r="F38" s="835"/>
      <c r="G38" s="532">
        <v>15.49</v>
      </c>
      <c r="H38" s="532" t="s">
        <v>241</v>
      </c>
      <c r="I38" s="97">
        <v>300000</v>
      </c>
      <c r="J38" s="97">
        <f t="shared" si="3"/>
        <v>4647000</v>
      </c>
      <c r="L38" s="77"/>
      <c r="M38" s="94"/>
      <c r="N38" s="837" t="s">
        <v>704</v>
      </c>
      <c r="O38" s="907"/>
      <c r="P38" s="908"/>
      <c r="Q38" s="532">
        <v>144</v>
      </c>
      <c r="R38" s="532" t="s">
        <v>242</v>
      </c>
      <c r="S38" s="97">
        <v>75000</v>
      </c>
      <c r="T38" s="97">
        <f t="shared" si="2"/>
        <v>10800000</v>
      </c>
    </row>
    <row r="39" spans="2:20">
      <c r="B39" s="77"/>
      <c r="C39" s="94"/>
      <c r="D39" s="902" t="s">
        <v>708</v>
      </c>
      <c r="E39" s="900"/>
      <c r="F39" s="901"/>
      <c r="G39" s="532">
        <v>25.84</v>
      </c>
      <c r="H39" s="532" t="s">
        <v>241</v>
      </c>
      <c r="I39" s="97">
        <v>280000</v>
      </c>
      <c r="J39" s="97">
        <f t="shared" si="3"/>
        <v>7235200</v>
      </c>
      <c r="L39" s="77"/>
      <c r="M39" s="94"/>
      <c r="N39" s="837" t="s">
        <v>705</v>
      </c>
      <c r="O39" s="907"/>
      <c r="P39" s="908"/>
      <c r="Q39" s="532">
        <v>49</v>
      </c>
      <c r="R39" s="532" t="s">
        <v>485</v>
      </c>
      <c r="S39" s="97">
        <v>35100</v>
      </c>
      <c r="T39" s="97">
        <f t="shared" si="2"/>
        <v>1719900</v>
      </c>
    </row>
    <row r="40" spans="2:20">
      <c r="B40" s="77"/>
      <c r="C40" s="94"/>
      <c r="D40" s="902" t="s">
        <v>775</v>
      </c>
      <c r="E40" s="900"/>
      <c r="F40" s="901"/>
      <c r="G40" s="532">
        <v>96</v>
      </c>
      <c r="H40" s="532" t="s">
        <v>485</v>
      </c>
      <c r="I40" s="97">
        <v>46000</v>
      </c>
      <c r="J40" s="97">
        <f t="shared" si="3"/>
        <v>4416000</v>
      </c>
      <c r="L40" s="77"/>
      <c r="M40" s="94"/>
      <c r="N40" s="837" t="s">
        <v>768</v>
      </c>
      <c r="O40" s="907"/>
      <c r="P40" s="908"/>
      <c r="Q40" s="532">
        <v>70</v>
      </c>
      <c r="R40" s="532" t="s">
        <v>485</v>
      </c>
      <c r="S40" s="97">
        <v>51000</v>
      </c>
      <c r="T40" s="97">
        <f t="shared" si="2"/>
        <v>3570000</v>
      </c>
    </row>
    <row r="41" spans="2:20">
      <c r="B41" s="77"/>
      <c r="C41" s="94"/>
      <c r="D41" s="902" t="s">
        <v>776</v>
      </c>
      <c r="E41" s="900"/>
      <c r="F41" s="901"/>
      <c r="G41" s="252">
        <v>5.6</v>
      </c>
      <c r="H41" s="532" t="s">
        <v>250</v>
      </c>
      <c r="I41" s="97">
        <v>16100</v>
      </c>
      <c r="J41" s="97">
        <f t="shared" si="3"/>
        <v>90160</v>
      </c>
      <c r="L41" s="77"/>
      <c r="M41" s="94"/>
      <c r="N41" s="837" t="s">
        <v>706</v>
      </c>
      <c r="O41" s="907"/>
      <c r="P41" s="908"/>
      <c r="Q41" s="532">
        <v>52</v>
      </c>
      <c r="R41" s="532" t="s">
        <v>485</v>
      </c>
      <c r="S41" s="97">
        <v>143100</v>
      </c>
      <c r="T41" s="97">
        <f t="shared" si="2"/>
        <v>7441200</v>
      </c>
    </row>
    <row r="42" spans="2:20">
      <c r="B42" s="77"/>
      <c r="C42" s="101"/>
      <c r="D42" s="811" t="s">
        <v>221</v>
      </c>
      <c r="E42" s="811"/>
      <c r="F42" s="811"/>
      <c r="G42" s="812"/>
      <c r="H42" s="812"/>
      <c r="I42" s="102"/>
      <c r="J42" s="102">
        <f>J16</f>
        <v>68582460</v>
      </c>
      <c r="L42" s="77"/>
      <c r="M42" s="94"/>
      <c r="N42" s="837" t="s">
        <v>707</v>
      </c>
      <c r="O42" s="907"/>
      <c r="P42" s="908"/>
      <c r="Q42" s="532">
        <v>11</v>
      </c>
      <c r="R42" s="532" t="s">
        <v>250</v>
      </c>
      <c r="S42" s="97">
        <v>22800</v>
      </c>
      <c r="T42" s="97">
        <f t="shared" si="2"/>
        <v>250800</v>
      </c>
    </row>
    <row r="43" spans="2:20" ht="29.25" customHeight="1">
      <c r="C43" s="200" t="s">
        <v>429</v>
      </c>
      <c r="D43" s="820" t="s">
        <v>560</v>
      </c>
      <c r="E43" s="820"/>
      <c r="F43" s="820"/>
      <c r="G43" s="821"/>
      <c r="H43" s="821"/>
      <c r="I43" s="87"/>
      <c r="J43" s="264">
        <f>SUM(J44+J59)</f>
        <v>18839000</v>
      </c>
      <c r="L43" s="77"/>
      <c r="M43" s="195"/>
      <c r="N43" s="909" t="s">
        <v>708</v>
      </c>
      <c r="O43" s="910"/>
      <c r="P43" s="910"/>
      <c r="Q43" s="532">
        <v>25</v>
      </c>
      <c r="R43" s="200" t="s">
        <v>241</v>
      </c>
      <c r="S43" s="196">
        <v>280000</v>
      </c>
      <c r="T43" s="97">
        <f t="shared" si="2"/>
        <v>7000000</v>
      </c>
    </row>
    <row r="44" spans="2:20">
      <c r="C44" s="88">
        <v>2</v>
      </c>
      <c r="D44" s="820" t="s">
        <v>34</v>
      </c>
      <c r="E44" s="820"/>
      <c r="F44" s="820"/>
      <c r="G44" s="532" t="s">
        <v>630</v>
      </c>
      <c r="H44" s="532" t="s">
        <v>631</v>
      </c>
      <c r="I44" s="533" t="s">
        <v>825</v>
      </c>
      <c r="J44" s="99">
        <f>SUM(J45:J53)</f>
        <v>9484000</v>
      </c>
      <c r="L44" s="77"/>
      <c r="M44" s="195"/>
      <c r="N44" s="909" t="s">
        <v>709</v>
      </c>
      <c r="O44" s="910"/>
      <c r="P44" s="1044"/>
      <c r="Q44" s="532">
        <v>0</v>
      </c>
      <c r="R44" s="200" t="s">
        <v>93</v>
      </c>
      <c r="S44" s="196">
        <v>750000</v>
      </c>
      <c r="T44" s="97">
        <f t="shared" si="2"/>
        <v>0</v>
      </c>
    </row>
    <row r="45" spans="2:20">
      <c r="C45" s="91"/>
      <c r="D45" s="822" t="s">
        <v>214</v>
      </c>
      <c r="E45" s="822"/>
      <c r="F45" s="822"/>
      <c r="G45" s="532">
        <v>1</v>
      </c>
      <c r="H45" s="532" t="s">
        <v>403</v>
      </c>
      <c r="I45" s="92">
        <v>500000</v>
      </c>
      <c r="J45" s="92">
        <f>G45*I45</f>
        <v>500000</v>
      </c>
      <c r="L45" s="77"/>
      <c r="M45" s="195"/>
      <c r="N45" s="911" t="s">
        <v>710</v>
      </c>
      <c r="O45" s="912"/>
      <c r="P45" s="913"/>
      <c r="Q45" s="532">
        <v>0</v>
      </c>
      <c r="R45" s="200" t="s">
        <v>250</v>
      </c>
      <c r="S45" s="196">
        <v>25100</v>
      </c>
      <c r="T45" s="97">
        <f t="shared" si="2"/>
        <v>0</v>
      </c>
    </row>
    <row r="46" spans="2:20">
      <c r="C46" s="91"/>
      <c r="D46" s="823" t="s">
        <v>41</v>
      </c>
      <c r="E46" s="823"/>
      <c r="F46" s="823"/>
      <c r="G46" s="937">
        <v>1314000</v>
      </c>
      <c r="H46" s="937"/>
      <c r="I46" s="92"/>
      <c r="J46" s="92"/>
      <c r="L46" s="77"/>
      <c r="M46" s="195"/>
      <c r="N46" s="911" t="s">
        <v>711</v>
      </c>
      <c r="O46" s="912"/>
      <c r="P46" s="913"/>
      <c r="Q46" s="532">
        <v>10</v>
      </c>
      <c r="R46" s="200" t="s">
        <v>250</v>
      </c>
      <c r="S46" s="196">
        <v>16100</v>
      </c>
      <c r="T46" s="97">
        <f t="shared" si="2"/>
        <v>161000</v>
      </c>
    </row>
    <row r="47" spans="2:20">
      <c r="C47" s="91"/>
      <c r="D47" s="835" t="s">
        <v>207</v>
      </c>
      <c r="E47" s="835"/>
      <c r="F47" s="835"/>
      <c r="G47" s="532">
        <v>1</v>
      </c>
      <c r="H47" s="532" t="s">
        <v>64</v>
      </c>
      <c r="I47" s="92">
        <f>G46*25%</f>
        <v>328500</v>
      </c>
      <c r="J47" s="92">
        <f>SUM(G47*I47)</f>
        <v>328500</v>
      </c>
      <c r="L47" s="77"/>
      <c r="M47" s="195"/>
      <c r="N47" s="909" t="s">
        <v>715</v>
      </c>
      <c r="O47" s="910"/>
      <c r="P47" s="1044"/>
      <c r="Q47" s="532">
        <v>90</v>
      </c>
      <c r="R47" s="200" t="s">
        <v>321</v>
      </c>
      <c r="S47" s="196">
        <v>27600</v>
      </c>
      <c r="T47" s="97">
        <f t="shared" si="2"/>
        <v>2484000</v>
      </c>
    </row>
    <row r="48" spans="2:20">
      <c r="C48" s="91"/>
      <c r="D48" s="835" t="s">
        <v>695</v>
      </c>
      <c r="E48" s="835"/>
      <c r="F48" s="835"/>
      <c r="G48" s="532">
        <v>1</v>
      </c>
      <c r="H48" s="532" t="s">
        <v>64</v>
      </c>
      <c r="I48" s="92">
        <f>G46*15%</f>
        <v>197100</v>
      </c>
      <c r="J48" s="92">
        <f>SUM(G48*I48)</f>
        <v>197100</v>
      </c>
      <c r="L48" s="77"/>
      <c r="M48" s="195"/>
      <c r="N48" s="909"/>
      <c r="O48" s="910"/>
      <c r="P48" s="1044"/>
      <c r="Q48" s="200"/>
      <c r="R48" s="200"/>
      <c r="S48" s="196"/>
      <c r="T48" s="430"/>
    </row>
    <row r="49" spans="3:20">
      <c r="C49" s="91"/>
      <c r="D49" s="835" t="s">
        <v>70</v>
      </c>
      <c r="E49" s="835"/>
      <c r="F49" s="835"/>
      <c r="G49" s="532">
        <v>6</v>
      </c>
      <c r="H49" s="532" t="s">
        <v>64</v>
      </c>
      <c r="I49" s="92">
        <f>G46*60%/6</f>
        <v>131400</v>
      </c>
      <c r="J49" s="92">
        <f>SUM(G49*I49)</f>
        <v>788400</v>
      </c>
      <c r="L49" s="81"/>
      <c r="M49" s="101"/>
      <c r="N49" s="811" t="s">
        <v>253</v>
      </c>
      <c r="O49" s="811"/>
      <c r="P49" s="811"/>
      <c r="Q49" s="906"/>
      <c r="R49" s="906"/>
      <c r="S49" s="102"/>
      <c r="T49" s="109">
        <f>T15</f>
        <v>78781296</v>
      </c>
    </row>
    <row r="50" spans="3:20">
      <c r="C50" s="91"/>
      <c r="D50" s="836" t="s">
        <v>215</v>
      </c>
      <c r="E50" s="836"/>
      <c r="F50" s="836"/>
      <c r="G50" s="532">
        <v>1</v>
      </c>
      <c r="H50" s="532" t="s">
        <v>217</v>
      </c>
      <c r="I50" s="92">
        <v>150000</v>
      </c>
      <c r="J50" s="92">
        <f t="shared" ref="J50:J58" si="4">SUM(G50*I50)</f>
        <v>150000</v>
      </c>
      <c r="L50" s="81"/>
      <c r="M50" s="522"/>
      <c r="N50" s="522"/>
      <c r="O50" s="77"/>
      <c r="P50" s="77"/>
      <c r="Q50" s="79"/>
      <c r="R50" s="810" t="s">
        <v>723</v>
      </c>
      <c r="S50" s="810"/>
      <c r="T50" s="810"/>
    </row>
    <row r="51" spans="3:20">
      <c r="C51" s="91"/>
      <c r="D51" s="836" t="s">
        <v>216</v>
      </c>
      <c r="E51" s="836"/>
      <c r="F51" s="836"/>
      <c r="G51" s="532">
        <v>1</v>
      </c>
      <c r="H51" s="532" t="s">
        <v>217</v>
      </c>
      <c r="I51" s="92">
        <v>50000</v>
      </c>
      <c r="J51" s="92">
        <f t="shared" si="4"/>
        <v>50000</v>
      </c>
      <c r="L51" s="81"/>
      <c r="M51" s="77"/>
      <c r="N51" s="77"/>
      <c r="O51" s="78" t="s">
        <v>76</v>
      </c>
      <c r="P51" s="78"/>
      <c r="Q51" s="79"/>
      <c r="R51" s="81"/>
      <c r="S51" s="78" t="s">
        <v>77</v>
      </c>
      <c r="T51" s="522"/>
    </row>
    <row r="52" spans="3:20">
      <c r="C52" s="91"/>
      <c r="D52" s="837" t="s">
        <v>628</v>
      </c>
      <c r="E52" s="838"/>
      <c r="F52" s="839"/>
      <c r="G52" s="532">
        <v>72</v>
      </c>
      <c r="H52" s="532" t="s">
        <v>644</v>
      </c>
      <c r="I52" s="92">
        <v>60000</v>
      </c>
      <c r="J52" s="92">
        <f t="shared" si="4"/>
        <v>4320000</v>
      </c>
      <c r="L52" s="81"/>
      <c r="M52" s="77"/>
      <c r="N52" s="810" t="s">
        <v>78</v>
      </c>
      <c r="O52" s="810"/>
      <c r="P52" s="810"/>
      <c r="Q52" s="79"/>
      <c r="R52" s="79"/>
      <c r="S52" s="104"/>
      <c r="T52" s="104"/>
    </row>
    <row r="53" spans="3:20">
      <c r="C53" s="94"/>
      <c r="D53" s="836" t="s">
        <v>642</v>
      </c>
      <c r="E53" s="836"/>
      <c r="F53" s="836"/>
      <c r="G53" s="532">
        <v>45</v>
      </c>
      <c r="H53" s="532" t="s">
        <v>644</v>
      </c>
      <c r="I53" s="95">
        <v>70000</v>
      </c>
      <c r="J53" s="92">
        <f t="shared" si="4"/>
        <v>3150000</v>
      </c>
      <c r="L53" s="81"/>
      <c r="M53" s="522"/>
      <c r="N53" s="522"/>
      <c r="O53" s="522"/>
      <c r="P53" s="522"/>
      <c r="Q53" s="79"/>
      <c r="R53" s="79"/>
      <c r="S53" s="80"/>
      <c r="T53" s="80"/>
    </row>
    <row r="54" spans="3:20">
      <c r="C54" s="94"/>
      <c r="D54" s="837" t="s">
        <v>408</v>
      </c>
      <c r="E54" s="838"/>
      <c r="F54" s="839"/>
      <c r="G54" s="532">
        <v>8.1</v>
      </c>
      <c r="H54" s="532" t="s">
        <v>644</v>
      </c>
      <c r="I54" s="95">
        <v>60000</v>
      </c>
      <c r="J54" s="92">
        <f t="shared" si="4"/>
        <v>486000</v>
      </c>
      <c r="L54" s="81"/>
      <c r="M54" s="522"/>
      <c r="N54" s="522"/>
      <c r="O54" s="522"/>
      <c r="P54" s="522"/>
      <c r="Q54" s="79"/>
      <c r="R54" s="79"/>
      <c r="S54" s="80"/>
      <c r="T54" s="80"/>
    </row>
    <row r="55" spans="3:20">
      <c r="C55" s="94"/>
      <c r="D55" s="837" t="s">
        <v>779</v>
      </c>
      <c r="E55" s="838"/>
      <c r="F55" s="839"/>
      <c r="G55" s="532">
        <v>5</v>
      </c>
      <c r="H55" s="532" t="s">
        <v>699</v>
      </c>
      <c r="I55" s="95">
        <v>27600</v>
      </c>
      <c r="J55" s="92">
        <f t="shared" si="4"/>
        <v>138000</v>
      </c>
      <c r="L55" s="81"/>
      <c r="M55" s="522"/>
      <c r="N55" s="522"/>
      <c r="O55" s="522"/>
      <c r="P55" s="522"/>
      <c r="Q55" s="79"/>
      <c r="R55" s="79"/>
      <c r="S55" s="80"/>
      <c r="T55" s="80"/>
    </row>
    <row r="56" spans="3:20">
      <c r="C56" s="94"/>
      <c r="D56" s="837" t="s">
        <v>780</v>
      </c>
      <c r="E56" s="838"/>
      <c r="F56" s="839"/>
      <c r="G56" s="532">
        <v>2</v>
      </c>
      <c r="H56" s="532" t="s">
        <v>217</v>
      </c>
      <c r="I56" s="95">
        <v>3500</v>
      </c>
      <c r="J56" s="92">
        <f t="shared" si="4"/>
        <v>7000</v>
      </c>
      <c r="L56" s="81"/>
      <c r="M56" s="522"/>
      <c r="N56" s="522"/>
      <c r="O56" s="78" t="s">
        <v>51</v>
      </c>
      <c r="P56" s="78"/>
      <c r="Q56" s="79"/>
      <c r="R56" s="81"/>
      <c r="S56" s="78" t="s">
        <v>428</v>
      </c>
      <c r="T56" s="522"/>
    </row>
    <row r="57" spans="3:20">
      <c r="C57" s="94"/>
      <c r="D57" s="837" t="s">
        <v>719</v>
      </c>
      <c r="E57" s="838"/>
      <c r="F57" s="839"/>
      <c r="G57" s="532">
        <v>5</v>
      </c>
      <c r="H57" s="532" t="s">
        <v>217</v>
      </c>
      <c r="I57" s="95">
        <v>14500</v>
      </c>
      <c r="J57" s="92">
        <f t="shared" si="4"/>
        <v>72500</v>
      </c>
      <c r="L57" s="81"/>
      <c r="M57" s="81"/>
      <c r="N57" s="81"/>
      <c r="O57" s="81"/>
      <c r="P57" s="81"/>
      <c r="Q57" s="81"/>
      <c r="R57" s="81"/>
      <c r="S57" s="82"/>
      <c r="T57" s="82"/>
    </row>
    <row r="58" spans="3:20">
      <c r="C58" s="94"/>
      <c r="D58" s="837" t="s">
        <v>750</v>
      </c>
      <c r="E58" s="838"/>
      <c r="F58" s="839"/>
      <c r="G58" s="532">
        <v>2</v>
      </c>
      <c r="H58" s="532" t="s">
        <v>217</v>
      </c>
      <c r="I58" s="95">
        <v>25000</v>
      </c>
      <c r="J58" s="92">
        <f t="shared" si="4"/>
        <v>50000</v>
      </c>
      <c r="L58" s="824" t="s">
        <v>54</v>
      </c>
      <c r="M58" s="824"/>
      <c r="N58" s="824"/>
      <c r="O58" s="824"/>
      <c r="P58" s="824"/>
      <c r="Q58" s="824"/>
      <c r="R58" s="824"/>
      <c r="S58" s="824"/>
      <c r="T58" s="824"/>
    </row>
    <row r="59" spans="3:20">
      <c r="C59" s="96">
        <v>3</v>
      </c>
      <c r="D59" s="813" t="s">
        <v>32</v>
      </c>
      <c r="E59" s="813"/>
      <c r="F59" s="813"/>
      <c r="G59" s="519"/>
      <c r="H59" s="519"/>
      <c r="I59" s="97"/>
      <c r="J59" s="98">
        <f>SUM(J60:J67)</f>
        <v>9355000</v>
      </c>
      <c r="L59" s="824" t="s">
        <v>55</v>
      </c>
      <c r="M59" s="824"/>
      <c r="N59" s="824"/>
      <c r="O59" s="824"/>
      <c r="P59" s="824"/>
      <c r="Q59" s="824"/>
      <c r="R59" s="824"/>
      <c r="S59" s="824"/>
      <c r="T59" s="824"/>
    </row>
    <row r="60" spans="3:20">
      <c r="C60" s="94"/>
      <c r="D60" s="834" t="s">
        <v>781</v>
      </c>
      <c r="E60" s="835"/>
      <c r="F60" s="835"/>
      <c r="G60" s="532">
        <v>45</v>
      </c>
      <c r="H60" s="532" t="s">
        <v>217</v>
      </c>
      <c r="I60" s="97">
        <v>45000</v>
      </c>
      <c r="J60" s="97">
        <f>G60*I60</f>
        <v>2025000</v>
      </c>
      <c r="L60" s="824" t="s">
        <v>53</v>
      </c>
      <c r="M60" s="824"/>
      <c r="N60" s="824"/>
      <c r="O60" s="824"/>
      <c r="P60" s="824"/>
      <c r="Q60" s="824"/>
      <c r="R60" s="824"/>
      <c r="S60" s="824"/>
      <c r="T60" s="824"/>
    </row>
    <row r="61" spans="3:20">
      <c r="C61" s="94"/>
      <c r="D61" s="834" t="s">
        <v>700</v>
      </c>
      <c r="E61" s="835"/>
      <c r="F61" s="835"/>
      <c r="G61" s="94">
        <v>7</v>
      </c>
      <c r="H61" s="94" t="s">
        <v>241</v>
      </c>
      <c r="I61" s="97">
        <v>220000</v>
      </c>
      <c r="J61" s="97">
        <f t="shared" ref="J61:J68" si="5">G61*I61</f>
        <v>1540000</v>
      </c>
      <c r="L61" s="77"/>
      <c r="M61" s="78"/>
      <c r="N61" s="78"/>
      <c r="O61" s="77"/>
      <c r="P61" s="77"/>
      <c r="Q61" s="79"/>
      <c r="R61" s="79"/>
      <c r="S61" s="80"/>
      <c r="T61" s="80"/>
    </row>
    <row r="62" spans="3:20">
      <c r="C62" s="94"/>
      <c r="D62" s="835" t="s">
        <v>782</v>
      </c>
      <c r="E62" s="835"/>
      <c r="F62" s="835"/>
      <c r="G62" s="532">
        <v>4</v>
      </c>
      <c r="H62" s="532" t="s">
        <v>241</v>
      </c>
      <c r="I62" s="97">
        <v>232000</v>
      </c>
      <c r="J62" s="97">
        <f t="shared" si="5"/>
        <v>928000</v>
      </c>
      <c r="L62" s="78">
        <v>1</v>
      </c>
      <c r="M62" s="249" t="s">
        <v>172</v>
      </c>
      <c r="N62" s="249"/>
      <c r="O62" s="249" t="s">
        <v>474</v>
      </c>
      <c r="P62" s="249"/>
      <c r="Q62" s="81"/>
      <c r="R62" s="81"/>
      <c r="S62" s="82"/>
      <c r="T62" s="82"/>
    </row>
    <row r="63" spans="3:20">
      <c r="C63" s="94"/>
      <c r="D63" s="834" t="s">
        <v>701</v>
      </c>
      <c r="E63" s="835"/>
      <c r="F63" s="835"/>
      <c r="G63" s="532">
        <v>1</v>
      </c>
      <c r="H63" s="532" t="s">
        <v>241</v>
      </c>
      <c r="I63" s="97">
        <v>300000</v>
      </c>
      <c r="J63" s="97">
        <f t="shared" si="5"/>
        <v>300000</v>
      </c>
      <c r="L63" s="78">
        <v>2</v>
      </c>
      <c r="M63" s="249" t="s">
        <v>173</v>
      </c>
      <c r="N63" s="249"/>
      <c r="O63" s="825" t="s">
        <v>881</v>
      </c>
      <c r="P63" s="825"/>
      <c r="Q63" s="825"/>
      <c r="R63" s="825"/>
      <c r="S63" s="825"/>
      <c r="T63" s="82"/>
    </row>
    <row r="64" spans="3:20">
      <c r="C64" s="94"/>
      <c r="D64" s="834" t="s">
        <v>758</v>
      </c>
      <c r="E64" s="835"/>
      <c r="F64" s="835"/>
      <c r="G64" s="532">
        <v>50</v>
      </c>
      <c r="H64" s="532" t="s">
        <v>288</v>
      </c>
      <c r="I64" s="97">
        <v>75000</v>
      </c>
      <c r="J64" s="97">
        <f t="shared" si="5"/>
        <v>3750000</v>
      </c>
      <c r="L64" s="78">
        <v>3</v>
      </c>
      <c r="M64" s="249" t="s">
        <v>174</v>
      </c>
      <c r="N64" s="249"/>
      <c r="O64" s="249" t="s">
        <v>866</v>
      </c>
      <c r="P64" s="249"/>
      <c r="Q64" s="81"/>
      <c r="R64" s="81"/>
      <c r="S64" s="82"/>
      <c r="T64" s="82"/>
    </row>
    <row r="65" spans="3:20">
      <c r="C65" s="94"/>
      <c r="D65" s="902" t="s">
        <v>708</v>
      </c>
      <c r="E65" s="900"/>
      <c r="F65" s="901"/>
      <c r="G65" s="532">
        <v>1.1000000000000001</v>
      </c>
      <c r="H65" s="532" t="s">
        <v>241</v>
      </c>
      <c r="I65" s="97">
        <v>280000</v>
      </c>
      <c r="J65" s="97">
        <f t="shared" si="5"/>
        <v>308000</v>
      </c>
      <c r="L65" s="78">
        <v>4</v>
      </c>
      <c r="M65" s="249" t="s">
        <v>183</v>
      </c>
      <c r="N65" s="249"/>
      <c r="O65" s="249" t="s">
        <v>213</v>
      </c>
      <c r="P65" s="250"/>
      <c r="Q65" s="81"/>
      <c r="R65" s="81"/>
      <c r="S65" s="82"/>
      <c r="T65" s="82"/>
    </row>
    <row r="66" spans="3:20">
      <c r="C66" s="94"/>
      <c r="D66" s="902" t="s">
        <v>703</v>
      </c>
      <c r="E66" s="900"/>
      <c r="F66" s="901"/>
      <c r="G66" s="532">
        <v>480</v>
      </c>
      <c r="H66" s="532" t="s">
        <v>217</v>
      </c>
      <c r="I66" s="97">
        <v>800</v>
      </c>
      <c r="J66" s="97">
        <f t="shared" si="5"/>
        <v>384000</v>
      </c>
      <c r="L66" s="78">
        <v>5</v>
      </c>
      <c r="M66" s="249" t="s">
        <v>184</v>
      </c>
      <c r="N66" s="249"/>
      <c r="O66" s="249" t="s">
        <v>236</v>
      </c>
      <c r="P66" s="251">
        <f>P67</f>
        <v>18127000</v>
      </c>
      <c r="Q66" s="81"/>
      <c r="R66" s="81"/>
      <c r="S66" s="82"/>
      <c r="T66" s="82"/>
    </row>
    <row r="67" spans="3:20">
      <c r="C67" s="94"/>
      <c r="D67" s="902" t="s">
        <v>775</v>
      </c>
      <c r="E67" s="900"/>
      <c r="F67" s="901"/>
      <c r="G67" s="532">
        <v>2</v>
      </c>
      <c r="H67" s="532" t="s">
        <v>722</v>
      </c>
      <c r="I67" s="97">
        <v>60000</v>
      </c>
      <c r="J67" s="97">
        <f t="shared" si="5"/>
        <v>120000</v>
      </c>
      <c r="L67" s="78">
        <v>6</v>
      </c>
      <c r="M67" s="249" t="s">
        <v>234</v>
      </c>
      <c r="N67" s="249"/>
      <c r="O67" s="249" t="s">
        <v>236</v>
      </c>
      <c r="P67" s="251">
        <f>T73</f>
        <v>18127000</v>
      </c>
      <c r="Q67" s="81"/>
      <c r="R67" s="81"/>
      <c r="S67" s="82"/>
      <c r="T67" s="82"/>
    </row>
    <row r="68" spans="3:20">
      <c r="C68" s="94"/>
      <c r="D68" s="902" t="s">
        <v>764</v>
      </c>
      <c r="E68" s="915"/>
      <c r="F68" s="916"/>
      <c r="G68" s="532">
        <v>1</v>
      </c>
      <c r="H68" s="532" t="s">
        <v>250</v>
      </c>
      <c r="I68" s="97">
        <v>16100</v>
      </c>
      <c r="J68" s="97">
        <f t="shared" si="5"/>
        <v>16100</v>
      </c>
      <c r="L68" s="78">
        <v>7</v>
      </c>
      <c r="M68" s="249" t="s">
        <v>194</v>
      </c>
      <c r="N68" s="249"/>
      <c r="O68" s="249"/>
      <c r="P68" s="249"/>
      <c r="Q68" s="194"/>
      <c r="R68" s="81"/>
      <c r="S68" s="82"/>
      <c r="T68" s="82"/>
    </row>
    <row r="69" spans="3:20" ht="24">
      <c r="C69" s="101"/>
      <c r="D69" s="811" t="s">
        <v>221</v>
      </c>
      <c r="E69" s="811"/>
      <c r="F69" s="811"/>
      <c r="G69" s="812"/>
      <c r="H69" s="812"/>
      <c r="I69" s="102"/>
      <c r="J69" s="109">
        <f>J43</f>
        <v>18839000</v>
      </c>
      <c r="L69" s="77"/>
      <c r="M69" s="827" t="s">
        <v>56</v>
      </c>
      <c r="N69" s="828" t="s">
        <v>0</v>
      </c>
      <c r="O69" s="829"/>
      <c r="P69" s="830"/>
      <c r="Q69" s="829" t="s">
        <v>57</v>
      </c>
      <c r="R69" s="829"/>
      <c r="S69" s="83" t="s">
        <v>58</v>
      </c>
      <c r="T69" s="83" t="s">
        <v>59</v>
      </c>
    </row>
    <row r="70" spans="3:20" ht="31.5" customHeight="1">
      <c r="C70" s="200" t="s">
        <v>430</v>
      </c>
      <c r="D70" s="820" t="s">
        <v>911</v>
      </c>
      <c r="E70" s="820"/>
      <c r="F70" s="820"/>
      <c r="G70" s="821" t="s">
        <v>783</v>
      </c>
      <c r="H70" s="821"/>
      <c r="I70" s="87"/>
      <c r="J70" s="264">
        <f>SUM(J71+J84)</f>
        <v>53674000</v>
      </c>
      <c r="L70" s="77"/>
      <c r="M70" s="827"/>
      <c r="N70" s="831"/>
      <c r="O70" s="832"/>
      <c r="P70" s="833"/>
      <c r="Q70" s="832"/>
      <c r="R70" s="832"/>
      <c r="S70" s="84" t="s">
        <v>52</v>
      </c>
      <c r="T70" s="84" t="s">
        <v>247</v>
      </c>
    </row>
    <row r="71" spans="3:20">
      <c r="C71" s="88">
        <v>2</v>
      </c>
      <c r="D71" s="820" t="s">
        <v>34</v>
      </c>
      <c r="E71" s="820"/>
      <c r="F71" s="820"/>
      <c r="G71" s="532" t="s">
        <v>630</v>
      </c>
      <c r="H71" s="532" t="s">
        <v>631</v>
      </c>
      <c r="I71" s="533" t="s">
        <v>912</v>
      </c>
      <c r="J71" s="99">
        <f>SUM(J72:J80)</f>
        <v>10974000</v>
      </c>
      <c r="L71" s="77"/>
      <c r="M71" s="526">
        <v>1</v>
      </c>
      <c r="N71" s="814">
        <v>2</v>
      </c>
      <c r="O71" s="815"/>
      <c r="P71" s="816"/>
      <c r="Q71" s="815">
        <v>3</v>
      </c>
      <c r="R71" s="815"/>
      <c r="S71" s="85">
        <v>4</v>
      </c>
      <c r="T71" s="85">
        <v>4</v>
      </c>
    </row>
    <row r="72" spans="3:20">
      <c r="C72" s="91"/>
      <c r="D72" s="822" t="s">
        <v>214</v>
      </c>
      <c r="E72" s="822"/>
      <c r="F72" s="822"/>
      <c r="G72" s="532">
        <v>1</v>
      </c>
      <c r="H72" s="532" t="s">
        <v>233</v>
      </c>
      <c r="I72" s="92">
        <v>500000</v>
      </c>
      <c r="J72" s="92">
        <f>G72*I72</f>
        <v>500000</v>
      </c>
      <c r="L72" s="77"/>
      <c r="M72" s="86" t="s">
        <v>412</v>
      </c>
      <c r="N72" s="817" t="s">
        <v>140</v>
      </c>
      <c r="O72" s="818"/>
      <c r="P72" s="819"/>
      <c r="Q72" s="527"/>
      <c r="R72" s="527"/>
      <c r="S72" s="268"/>
      <c r="T72" s="268"/>
    </row>
    <row r="73" spans="3:20">
      <c r="C73" s="91"/>
      <c r="D73" s="823" t="s">
        <v>41</v>
      </c>
      <c r="E73" s="823"/>
      <c r="F73" s="823"/>
      <c r="G73" s="937">
        <v>3494000</v>
      </c>
      <c r="H73" s="937"/>
      <c r="I73" s="92"/>
      <c r="J73" s="92"/>
      <c r="L73" s="77"/>
      <c r="M73" s="429" t="s">
        <v>6</v>
      </c>
      <c r="N73" s="820" t="s">
        <v>867</v>
      </c>
      <c r="O73" s="820"/>
      <c r="P73" s="820"/>
      <c r="Q73" s="821"/>
      <c r="R73" s="821"/>
      <c r="S73" s="87"/>
      <c r="T73" s="264">
        <f>T74+T85</f>
        <v>18127000</v>
      </c>
    </row>
    <row r="74" spans="3:20">
      <c r="C74" s="91"/>
      <c r="D74" s="835" t="s">
        <v>207</v>
      </c>
      <c r="E74" s="835"/>
      <c r="F74" s="835"/>
      <c r="G74" s="532">
        <v>1</v>
      </c>
      <c r="H74" s="532" t="s">
        <v>64</v>
      </c>
      <c r="I74" s="92">
        <f>G73*25%</f>
        <v>873500</v>
      </c>
      <c r="J74" s="92">
        <f>SUM(G74*I74)</f>
        <v>873500</v>
      </c>
      <c r="L74" s="77"/>
      <c r="M74" s="88">
        <v>2</v>
      </c>
      <c r="N74" s="820" t="s">
        <v>34</v>
      </c>
      <c r="O74" s="820"/>
      <c r="P74" s="820"/>
      <c r="Q74" s="532" t="s">
        <v>630</v>
      </c>
      <c r="R74" s="532" t="s">
        <v>631</v>
      </c>
      <c r="S74" s="89"/>
      <c r="T74" s="99">
        <f>SUM(T75:T83)</f>
        <v>4710000</v>
      </c>
    </row>
    <row r="75" spans="3:20">
      <c r="C75" s="91"/>
      <c r="D75" s="835" t="s">
        <v>695</v>
      </c>
      <c r="E75" s="835"/>
      <c r="F75" s="835"/>
      <c r="G75" s="532">
        <v>1</v>
      </c>
      <c r="H75" s="532" t="s">
        <v>64</v>
      </c>
      <c r="I75" s="92">
        <f>G73*15%</f>
        <v>524100</v>
      </c>
      <c r="J75" s="92">
        <f>SUM(G75*I75)</f>
        <v>524100</v>
      </c>
      <c r="L75" s="77"/>
      <c r="M75" s="91"/>
      <c r="N75" s="822" t="s">
        <v>214</v>
      </c>
      <c r="O75" s="822"/>
      <c r="P75" s="822"/>
      <c r="Q75" s="532">
        <v>1</v>
      </c>
      <c r="R75" s="197" t="s">
        <v>233</v>
      </c>
      <c r="S75" s="92">
        <v>500000</v>
      </c>
      <c r="T75" s="92">
        <f>Q75*S75</f>
        <v>500000</v>
      </c>
    </row>
    <row r="76" spans="3:20">
      <c r="C76" s="91"/>
      <c r="D76" s="835" t="s">
        <v>70</v>
      </c>
      <c r="E76" s="835"/>
      <c r="F76" s="835"/>
      <c r="G76" s="532">
        <v>6</v>
      </c>
      <c r="H76" s="532" t="s">
        <v>64</v>
      </c>
      <c r="I76" s="92">
        <f>G73*60%/6</f>
        <v>349400</v>
      </c>
      <c r="J76" s="92">
        <f>SUM(G76*I76)</f>
        <v>2096400</v>
      </c>
      <c r="L76" s="77"/>
      <c r="M76" s="91"/>
      <c r="N76" s="823" t="s">
        <v>41</v>
      </c>
      <c r="O76" s="823"/>
      <c r="P76" s="823"/>
      <c r="Q76" s="532"/>
      <c r="R76" s="197"/>
      <c r="S76" s="92">
        <v>1334000</v>
      </c>
      <c r="T76" s="92"/>
    </row>
    <row r="77" spans="3:20">
      <c r="C77" s="91"/>
      <c r="D77" s="836" t="s">
        <v>215</v>
      </c>
      <c r="E77" s="836"/>
      <c r="F77" s="836"/>
      <c r="G77" s="532">
        <v>1</v>
      </c>
      <c r="H77" s="532" t="s">
        <v>233</v>
      </c>
      <c r="I77" s="92">
        <v>150000</v>
      </c>
      <c r="J77" s="92">
        <f t="shared" ref="J77:J83" si="6">SUM(G77*I77)</f>
        <v>150000</v>
      </c>
      <c r="L77" s="77"/>
      <c r="M77" s="91"/>
      <c r="N77" s="835" t="s">
        <v>207</v>
      </c>
      <c r="O77" s="835"/>
      <c r="P77" s="835"/>
      <c r="Q77" s="532">
        <v>1</v>
      </c>
      <c r="R77" s="532" t="s">
        <v>64</v>
      </c>
      <c r="S77" s="92">
        <f>S76*25%</f>
        <v>333500</v>
      </c>
      <c r="T77" s="92">
        <f>Q77*S77</f>
        <v>333500</v>
      </c>
    </row>
    <row r="78" spans="3:20">
      <c r="C78" s="91"/>
      <c r="D78" s="836" t="s">
        <v>216</v>
      </c>
      <c r="E78" s="836"/>
      <c r="F78" s="836"/>
      <c r="G78" s="532">
        <v>1</v>
      </c>
      <c r="H78" s="532" t="s">
        <v>217</v>
      </c>
      <c r="I78" s="92">
        <v>50000</v>
      </c>
      <c r="J78" s="92">
        <f t="shared" si="6"/>
        <v>50000</v>
      </c>
      <c r="L78" s="77"/>
      <c r="M78" s="91"/>
      <c r="N78" s="835" t="s">
        <v>695</v>
      </c>
      <c r="O78" s="835"/>
      <c r="P78" s="835"/>
      <c r="Q78" s="532">
        <v>1</v>
      </c>
      <c r="R78" s="532" t="s">
        <v>64</v>
      </c>
      <c r="S78" s="92">
        <f>S76*15%</f>
        <v>200100</v>
      </c>
      <c r="T78" s="92">
        <f t="shared" ref="T78:T84" si="7">Q78*S78</f>
        <v>200100</v>
      </c>
    </row>
    <row r="79" spans="3:20">
      <c r="C79" s="91"/>
      <c r="D79" s="837" t="s">
        <v>628</v>
      </c>
      <c r="E79" s="838"/>
      <c r="F79" s="839"/>
      <c r="G79" s="532">
        <v>85</v>
      </c>
      <c r="H79" s="532" t="s">
        <v>643</v>
      </c>
      <c r="I79" s="92">
        <v>60000</v>
      </c>
      <c r="J79" s="92">
        <f t="shared" si="6"/>
        <v>5100000</v>
      </c>
      <c r="L79" s="77"/>
      <c r="M79" s="91"/>
      <c r="N79" s="835" t="s">
        <v>70</v>
      </c>
      <c r="O79" s="835"/>
      <c r="P79" s="835"/>
      <c r="Q79" s="532">
        <v>6</v>
      </c>
      <c r="R79" s="532" t="s">
        <v>64</v>
      </c>
      <c r="S79" s="92">
        <f>S76*60%/Q79</f>
        <v>133400</v>
      </c>
      <c r="T79" s="92">
        <f t="shared" si="7"/>
        <v>800400</v>
      </c>
    </row>
    <row r="80" spans="3:20">
      <c r="C80" s="94"/>
      <c r="D80" s="836" t="s">
        <v>642</v>
      </c>
      <c r="E80" s="836"/>
      <c r="F80" s="836"/>
      <c r="G80" s="532">
        <v>24</v>
      </c>
      <c r="H80" s="532" t="s">
        <v>643</v>
      </c>
      <c r="I80" s="95">
        <v>70000</v>
      </c>
      <c r="J80" s="92">
        <f t="shared" si="6"/>
        <v>1680000</v>
      </c>
      <c r="L80" s="77"/>
      <c r="M80" s="91"/>
      <c r="N80" s="836" t="s">
        <v>215</v>
      </c>
      <c r="O80" s="836"/>
      <c r="P80" s="836"/>
      <c r="Q80" s="532">
        <v>1</v>
      </c>
      <c r="R80" s="532" t="s">
        <v>217</v>
      </c>
      <c r="S80" s="92">
        <v>150000</v>
      </c>
      <c r="T80" s="92">
        <f t="shared" si="7"/>
        <v>150000</v>
      </c>
    </row>
    <row r="81" spans="3:20">
      <c r="C81" s="94"/>
      <c r="D81" s="837" t="s">
        <v>785</v>
      </c>
      <c r="E81" s="838"/>
      <c r="F81" s="839"/>
      <c r="G81" s="532">
        <v>81</v>
      </c>
      <c r="H81" s="532" t="s">
        <v>644</v>
      </c>
      <c r="I81" s="95">
        <v>60000</v>
      </c>
      <c r="J81" s="89">
        <f t="shared" si="6"/>
        <v>4860000</v>
      </c>
      <c r="L81" s="77"/>
      <c r="M81" s="91"/>
      <c r="N81" s="836" t="s">
        <v>216</v>
      </c>
      <c r="O81" s="836"/>
      <c r="P81" s="836"/>
      <c r="Q81" s="532">
        <v>1</v>
      </c>
      <c r="R81" s="532" t="s">
        <v>217</v>
      </c>
      <c r="S81" s="92">
        <v>50000</v>
      </c>
      <c r="T81" s="92">
        <f t="shared" si="7"/>
        <v>50000</v>
      </c>
    </row>
    <row r="82" spans="3:20">
      <c r="C82" s="94"/>
      <c r="D82" s="837" t="s">
        <v>719</v>
      </c>
      <c r="E82" s="838"/>
      <c r="F82" s="839"/>
      <c r="G82" s="532">
        <v>5</v>
      </c>
      <c r="H82" s="532" t="s">
        <v>217</v>
      </c>
      <c r="I82" s="95">
        <v>14500</v>
      </c>
      <c r="J82" s="89">
        <f t="shared" si="6"/>
        <v>72500</v>
      </c>
      <c r="L82" s="77"/>
      <c r="M82" s="91"/>
      <c r="N82" s="837" t="s">
        <v>628</v>
      </c>
      <c r="O82" s="838"/>
      <c r="P82" s="839"/>
      <c r="Q82" s="532">
        <v>9.6</v>
      </c>
      <c r="R82" s="532" t="s">
        <v>644</v>
      </c>
      <c r="S82" s="92">
        <v>60000</v>
      </c>
      <c r="T82" s="92">
        <f t="shared" si="7"/>
        <v>576000</v>
      </c>
    </row>
    <row r="83" spans="3:20">
      <c r="C83" s="94"/>
      <c r="D83" s="837" t="s">
        <v>750</v>
      </c>
      <c r="E83" s="838"/>
      <c r="F83" s="839"/>
      <c r="G83" s="532">
        <v>3</v>
      </c>
      <c r="H83" s="532" t="s">
        <v>217</v>
      </c>
      <c r="I83" s="95">
        <v>25000</v>
      </c>
      <c r="J83" s="89">
        <f t="shared" si="6"/>
        <v>75000</v>
      </c>
      <c r="L83" s="77"/>
      <c r="M83" s="94"/>
      <c r="N83" s="836" t="s">
        <v>642</v>
      </c>
      <c r="O83" s="836"/>
      <c r="P83" s="836"/>
      <c r="Q83" s="532">
        <v>30</v>
      </c>
      <c r="R83" s="532" t="s">
        <v>644</v>
      </c>
      <c r="S83" s="95">
        <v>70000</v>
      </c>
      <c r="T83" s="92">
        <f t="shared" si="7"/>
        <v>2100000</v>
      </c>
    </row>
    <row r="84" spans="3:20">
      <c r="C84" s="96">
        <v>3</v>
      </c>
      <c r="D84" s="813" t="s">
        <v>32</v>
      </c>
      <c r="E84" s="813"/>
      <c r="F84" s="813"/>
      <c r="G84" s="519"/>
      <c r="H84" s="519"/>
      <c r="I84" s="97"/>
      <c r="J84" s="98">
        <f>SUM(J85:J91)</f>
        <v>42700000</v>
      </c>
      <c r="L84" s="77"/>
      <c r="M84" s="94"/>
      <c r="N84" s="837" t="s">
        <v>885</v>
      </c>
      <c r="O84" s="838"/>
      <c r="P84" s="839"/>
      <c r="Q84" s="532">
        <v>30</v>
      </c>
      <c r="R84" s="532" t="s">
        <v>886</v>
      </c>
      <c r="S84" s="95">
        <v>40000</v>
      </c>
      <c r="T84" s="89">
        <f t="shared" si="7"/>
        <v>1200000</v>
      </c>
    </row>
    <row r="85" spans="3:20">
      <c r="C85" s="94"/>
      <c r="D85" s="834" t="s">
        <v>784</v>
      </c>
      <c r="E85" s="835"/>
      <c r="F85" s="835"/>
      <c r="G85" s="532">
        <v>360</v>
      </c>
      <c r="H85" s="532" t="s">
        <v>241</v>
      </c>
      <c r="I85" s="97">
        <v>55000</v>
      </c>
      <c r="J85" s="97">
        <f>G85*I85</f>
        <v>19800000</v>
      </c>
      <c r="L85" s="77"/>
      <c r="M85" s="96">
        <v>3</v>
      </c>
      <c r="N85" s="813" t="s">
        <v>32</v>
      </c>
      <c r="O85" s="813"/>
      <c r="P85" s="813"/>
      <c r="Q85" s="519"/>
      <c r="R85" s="519"/>
      <c r="S85" s="97"/>
      <c r="T85" s="98">
        <f>SUM(T86:T90)</f>
        <v>13417000</v>
      </c>
    </row>
    <row r="86" spans="3:20">
      <c r="C86" s="94"/>
      <c r="D86" s="902" t="s">
        <v>700</v>
      </c>
      <c r="E86" s="900"/>
      <c r="F86" s="901"/>
      <c r="G86" s="532">
        <v>2</v>
      </c>
      <c r="H86" s="532" t="s">
        <v>241</v>
      </c>
      <c r="I86" s="97">
        <v>220000</v>
      </c>
      <c r="J86" s="97">
        <f t="shared" ref="J86:J91" si="8">G86*I86</f>
        <v>440000</v>
      </c>
      <c r="L86" s="77"/>
      <c r="M86" s="94"/>
      <c r="N86" s="834" t="s">
        <v>883</v>
      </c>
      <c r="O86" s="835"/>
      <c r="P86" s="835"/>
      <c r="Q86" s="532">
        <v>1</v>
      </c>
      <c r="R86" s="532" t="s">
        <v>699</v>
      </c>
      <c r="S86" s="97">
        <v>82000</v>
      </c>
      <c r="T86" s="97">
        <f>Q86*S86</f>
        <v>82000</v>
      </c>
    </row>
    <row r="87" spans="3:20">
      <c r="C87" s="94"/>
      <c r="D87" s="834" t="s">
        <v>701</v>
      </c>
      <c r="E87" s="835"/>
      <c r="F87" s="835"/>
      <c r="G87" s="94">
        <v>14</v>
      </c>
      <c r="H87" s="94" t="s">
        <v>102</v>
      </c>
      <c r="I87" s="97">
        <v>300000</v>
      </c>
      <c r="J87" s="97">
        <f t="shared" si="8"/>
        <v>4200000</v>
      </c>
      <c r="L87" s="77"/>
      <c r="M87" s="94"/>
      <c r="N87" s="834" t="s">
        <v>882</v>
      </c>
      <c r="O87" s="835"/>
      <c r="P87" s="835"/>
      <c r="Q87" s="94">
        <v>5</v>
      </c>
      <c r="R87" s="94" t="s">
        <v>250</v>
      </c>
      <c r="S87" s="97">
        <v>42000</v>
      </c>
      <c r="T87" s="97">
        <f t="shared" ref="T87:T91" si="9">Q87*S87</f>
        <v>210000</v>
      </c>
    </row>
    <row r="88" spans="3:20">
      <c r="C88" s="94"/>
      <c r="D88" s="834" t="s">
        <v>703</v>
      </c>
      <c r="E88" s="835"/>
      <c r="F88" s="835"/>
      <c r="G88" s="532">
        <v>600</v>
      </c>
      <c r="H88" s="532" t="s">
        <v>241</v>
      </c>
      <c r="I88" s="97">
        <v>800</v>
      </c>
      <c r="J88" s="97">
        <f t="shared" si="8"/>
        <v>480000</v>
      </c>
      <c r="L88" s="77"/>
      <c r="M88" s="94"/>
      <c r="N88" s="834" t="s">
        <v>887</v>
      </c>
      <c r="O88" s="835"/>
      <c r="P88" s="835"/>
      <c r="Q88" s="532">
        <v>75</v>
      </c>
      <c r="R88" s="532" t="s">
        <v>250</v>
      </c>
      <c r="S88" s="97">
        <v>160000</v>
      </c>
      <c r="T88" s="97">
        <f t="shared" si="9"/>
        <v>12000000</v>
      </c>
    </row>
    <row r="89" spans="3:20">
      <c r="C89" s="94"/>
      <c r="D89" s="834" t="s">
        <v>708</v>
      </c>
      <c r="E89" s="835"/>
      <c r="F89" s="835"/>
      <c r="G89" s="532">
        <v>23</v>
      </c>
      <c r="H89" s="532" t="s">
        <v>241</v>
      </c>
      <c r="I89" s="97">
        <v>280000</v>
      </c>
      <c r="J89" s="97">
        <f t="shared" si="8"/>
        <v>6440000</v>
      </c>
      <c r="L89" s="77"/>
      <c r="M89" s="94"/>
      <c r="N89" s="834" t="s">
        <v>884</v>
      </c>
      <c r="O89" s="835"/>
      <c r="P89" s="835"/>
      <c r="Q89" s="532">
        <v>25</v>
      </c>
      <c r="R89" s="532" t="s">
        <v>250</v>
      </c>
      <c r="S89" s="97">
        <v>42000</v>
      </c>
      <c r="T89" s="97">
        <f t="shared" si="9"/>
        <v>1050000</v>
      </c>
    </row>
    <row r="90" spans="3:20">
      <c r="C90" s="94"/>
      <c r="D90" s="834" t="s">
        <v>758</v>
      </c>
      <c r="E90" s="835"/>
      <c r="F90" s="835"/>
      <c r="G90" s="532">
        <v>144</v>
      </c>
      <c r="H90" s="532" t="s">
        <v>288</v>
      </c>
      <c r="I90" s="97">
        <v>75000</v>
      </c>
      <c r="J90" s="97">
        <f t="shared" si="8"/>
        <v>10800000</v>
      </c>
      <c r="L90" s="77"/>
      <c r="M90" s="94"/>
      <c r="N90" s="834" t="s">
        <v>758</v>
      </c>
      <c r="O90" s="835"/>
      <c r="P90" s="835"/>
      <c r="Q90" s="532">
        <v>1</v>
      </c>
      <c r="R90" s="532" t="s">
        <v>242</v>
      </c>
      <c r="S90" s="97">
        <v>75000</v>
      </c>
      <c r="T90" s="97">
        <f t="shared" si="9"/>
        <v>75000</v>
      </c>
    </row>
    <row r="91" spans="3:20">
      <c r="C91" s="94"/>
      <c r="D91" s="902" t="s">
        <v>775</v>
      </c>
      <c r="E91" s="900"/>
      <c r="F91" s="901"/>
      <c r="G91" s="532">
        <v>9</v>
      </c>
      <c r="H91" s="532" t="s">
        <v>722</v>
      </c>
      <c r="I91" s="97">
        <v>60000</v>
      </c>
      <c r="J91" s="97">
        <f t="shared" si="8"/>
        <v>540000</v>
      </c>
      <c r="L91" s="77"/>
      <c r="M91" s="105"/>
      <c r="N91" s="835"/>
      <c r="O91" s="835"/>
      <c r="P91" s="835"/>
      <c r="Q91" s="94"/>
      <c r="R91" s="517"/>
      <c r="S91" s="100"/>
      <c r="T91" s="97">
        <f t="shared" si="9"/>
        <v>0</v>
      </c>
    </row>
    <row r="92" spans="3:20">
      <c r="C92" s="101"/>
      <c r="D92" s="811" t="s">
        <v>221</v>
      </c>
      <c r="E92" s="811"/>
      <c r="F92" s="811"/>
      <c r="G92" s="812"/>
      <c r="H92" s="812"/>
      <c r="I92" s="102"/>
      <c r="J92" s="109">
        <f>J70</f>
        <v>53674000</v>
      </c>
      <c r="L92" s="77"/>
      <c r="M92" s="101"/>
      <c r="N92" s="811" t="s">
        <v>221</v>
      </c>
      <c r="O92" s="811"/>
      <c r="P92" s="811"/>
      <c r="Q92" s="812"/>
      <c r="R92" s="812"/>
      <c r="S92" s="102"/>
      <c r="T92" s="109">
        <f>SUM(T73)</f>
        <v>18127000</v>
      </c>
    </row>
    <row r="93" spans="3:20" ht="30" customHeight="1">
      <c r="C93" s="200" t="s">
        <v>431</v>
      </c>
      <c r="D93" s="820" t="s">
        <v>812</v>
      </c>
      <c r="E93" s="820"/>
      <c r="F93" s="820"/>
      <c r="G93" s="821" t="s">
        <v>811</v>
      </c>
      <c r="H93" s="821"/>
      <c r="I93" s="87"/>
      <c r="J93" s="264">
        <f>SUM(J94+J107)</f>
        <v>2909500</v>
      </c>
      <c r="L93" s="77"/>
      <c r="M93" s="522"/>
      <c r="N93" s="522"/>
      <c r="O93" s="77"/>
      <c r="P93" s="77"/>
      <c r="Q93" s="79"/>
      <c r="R93" s="810" t="s">
        <v>786</v>
      </c>
      <c r="S93" s="810"/>
      <c r="T93" s="810"/>
    </row>
    <row r="94" spans="3:20">
      <c r="C94" s="88">
        <v>2</v>
      </c>
      <c r="D94" s="820" t="s">
        <v>34</v>
      </c>
      <c r="E94" s="820"/>
      <c r="F94" s="820"/>
      <c r="G94" s="532" t="s">
        <v>246</v>
      </c>
      <c r="H94" s="532" t="s">
        <v>219</v>
      </c>
      <c r="I94" s="89"/>
      <c r="J94" s="99">
        <f>SUM(J95:J106)</f>
        <v>1507000</v>
      </c>
      <c r="L94" s="77"/>
      <c r="M94" s="77"/>
      <c r="N94" s="77"/>
      <c r="O94" s="78" t="s">
        <v>76</v>
      </c>
      <c r="P94" s="78"/>
      <c r="Q94" s="79"/>
      <c r="R94" s="810" t="s">
        <v>77</v>
      </c>
      <c r="S94" s="810"/>
      <c r="T94" s="810"/>
    </row>
    <row r="95" spans="3:20">
      <c r="C95" s="91"/>
      <c r="D95" s="822" t="s">
        <v>214</v>
      </c>
      <c r="E95" s="822"/>
      <c r="F95" s="822"/>
      <c r="G95" s="532">
        <v>1</v>
      </c>
      <c r="H95" s="532" t="s">
        <v>233</v>
      </c>
      <c r="I95" s="92">
        <v>500000</v>
      </c>
      <c r="J95" s="92">
        <f>G95*I95</f>
        <v>500000</v>
      </c>
      <c r="L95" s="77"/>
      <c r="M95" s="77"/>
      <c r="N95" s="77"/>
      <c r="O95" s="78" t="s">
        <v>78</v>
      </c>
      <c r="P95" s="522"/>
      <c r="Q95" s="79"/>
      <c r="R95" s="79"/>
      <c r="S95" s="104"/>
      <c r="T95" s="104"/>
    </row>
    <row r="96" spans="3:20">
      <c r="C96" s="91"/>
      <c r="D96" s="823" t="s">
        <v>41</v>
      </c>
      <c r="E96" s="823"/>
      <c r="F96" s="823"/>
      <c r="G96" s="937">
        <v>221000</v>
      </c>
      <c r="H96" s="937"/>
      <c r="I96" s="92"/>
      <c r="J96" s="92"/>
      <c r="L96" s="77"/>
      <c r="M96" s="522"/>
      <c r="N96" s="522"/>
      <c r="O96" s="522"/>
      <c r="P96" s="522"/>
      <c r="Q96" s="79"/>
      <c r="R96" s="79"/>
      <c r="S96" s="80"/>
      <c r="T96" s="80"/>
    </row>
    <row r="97" spans="3:21">
      <c r="C97" s="91"/>
      <c r="D97" s="835" t="s">
        <v>207</v>
      </c>
      <c r="E97" s="835"/>
      <c r="F97" s="835"/>
      <c r="G97" s="532">
        <v>1</v>
      </c>
      <c r="H97" s="532" t="s">
        <v>64</v>
      </c>
      <c r="I97" s="92">
        <f>G96*25%</f>
        <v>55250</v>
      </c>
      <c r="J97" s="92">
        <f>SUM(G97*I97)</f>
        <v>55250</v>
      </c>
      <c r="L97" s="77"/>
      <c r="M97" s="522"/>
      <c r="N97" s="522"/>
      <c r="O97" s="522"/>
      <c r="P97" s="522"/>
      <c r="Q97" s="79"/>
      <c r="R97" s="79"/>
      <c r="S97" s="80"/>
      <c r="T97" s="80"/>
    </row>
    <row r="98" spans="3:21">
      <c r="C98" s="91"/>
      <c r="D98" s="835" t="s">
        <v>695</v>
      </c>
      <c r="E98" s="835"/>
      <c r="F98" s="835"/>
      <c r="G98" s="532">
        <v>1</v>
      </c>
      <c r="H98" s="532" t="s">
        <v>64</v>
      </c>
      <c r="I98" s="92">
        <f>G96*15%</f>
        <v>33150</v>
      </c>
      <c r="J98" s="92">
        <f>SUM(G98*I98)</f>
        <v>33150</v>
      </c>
      <c r="L98" s="77"/>
      <c r="M98" s="522"/>
      <c r="N98" s="522"/>
      <c r="O98" s="522"/>
      <c r="P98" s="522"/>
      <c r="Q98" s="79"/>
      <c r="R98" s="79"/>
      <c r="S98" s="80"/>
      <c r="T98" s="80"/>
    </row>
    <row r="99" spans="3:21">
      <c r="C99" s="91"/>
      <c r="D99" s="835" t="s">
        <v>70</v>
      </c>
      <c r="E99" s="835"/>
      <c r="F99" s="835"/>
      <c r="G99" s="532">
        <v>6</v>
      </c>
      <c r="H99" s="532" t="s">
        <v>64</v>
      </c>
      <c r="I99" s="92">
        <f>G96*60%/6</f>
        <v>22100</v>
      </c>
      <c r="J99" s="92">
        <f>SUM(G99*I99)</f>
        <v>132600</v>
      </c>
      <c r="L99" s="77"/>
      <c r="M99" s="522"/>
      <c r="N99" s="522"/>
      <c r="O99" s="78" t="s">
        <v>51</v>
      </c>
      <c r="P99" s="78"/>
      <c r="Q99" s="79"/>
      <c r="R99" s="810" t="s">
        <v>224</v>
      </c>
      <c r="S99" s="810"/>
      <c r="T99" s="810"/>
    </row>
    <row r="100" spans="3:21">
      <c r="C100" s="91"/>
      <c r="D100" s="836" t="s">
        <v>215</v>
      </c>
      <c r="E100" s="836"/>
      <c r="F100" s="836"/>
      <c r="G100" s="532">
        <v>1</v>
      </c>
      <c r="H100" s="532" t="s">
        <v>233</v>
      </c>
      <c r="I100" s="92">
        <v>150000</v>
      </c>
      <c r="J100" s="92">
        <f t="shared" ref="J100:J106" si="10">SUM(G100*I100)</f>
        <v>150000</v>
      </c>
    </row>
    <row r="101" spans="3:21">
      <c r="C101" s="91"/>
      <c r="D101" s="836" t="s">
        <v>216</v>
      </c>
      <c r="E101" s="836"/>
      <c r="F101" s="836"/>
      <c r="G101" s="532">
        <v>1</v>
      </c>
      <c r="H101" s="532" t="s">
        <v>217</v>
      </c>
      <c r="I101" s="92">
        <v>50000</v>
      </c>
      <c r="J101" s="92">
        <f t="shared" si="10"/>
        <v>50000</v>
      </c>
    </row>
    <row r="102" spans="3:21">
      <c r="C102" s="91"/>
      <c r="D102" s="837" t="s">
        <v>628</v>
      </c>
      <c r="E102" s="838"/>
      <c r="F102" s="839"/>
      <c r="G102" s="532">
        <v>3</v>
      </c>
      <c r="H102" s="532" t="s">
        <v>643</v>
      </c>
      <c r="I102" s="92">
        <v>60000</v>
      </c>
      <c r="J102" s="92">
        <f t="shared" si="10"/>
        <v>180000</v>
      </c>
    </row>
    <row r="103" spans="3:21">
      <c r="C103" s="94"/>
      <c r="D103" s="836" t="s">
        <v>642</v>
      </c>
      <c r="E103" s="836"/>
      <c r="F103" s="836"/>
      <c r="G103" s="532">
        <v>3</v>
      </c>
      <c r="H103" s="532" t="s">
        <v>643</v>
      </c>
      <c r="I103" s="95">
        <v>70000</v>
      </c>
      <c r="J103" s="92">
        <f t="shared" si="10"/>
        <v>210000</v>
      </c>
    </row>
    <row r="104" spans="3:21">
      <c r="C104" s="94"/>
      <c r="D104" s="837" t="s">
        <v>785</v>
      </c>
      <c r="E104" s="838"/>
      <c r="F104" s="839"/>
      <c r="G104" s="532">
        <v>2</v>
      </c>
      <c r="H104" s="532" t="s">
        <v>644</v>
      </c>
      <c r="I104" s="95">
        <v>60000</v>
      </c>
      <c r="J104" s="89">
        <f t="shared" si="10"/>
        <v>120000</v>
      </c>
    </row>
    <row r="105" spans="3:21">
      <c r="C105" s="94"/>
      <c r="D105" s="837" t="s">
        <v>719</v>
      </c>
      <c r="E105" s="838"/>
      <c r="F105" s="839"/>
      <c r="G105" s="532">
        <v>5</v>
      </c>
      <c r="H105" s="532" t="s">
        <v>217</v>
      </c>
      <c r="I105" s="95">
        <v>14500</v>
      </c>
      <c r="J105" s="89">
        <f t="shared" si="10"/>
        <v>72500</v>
      </c>
    </row>
    <row r="106" spans="3:21">
      <c r="C106" s="94"/>
      <c r="D106" s="837" t="s">
        <v>780</v>
      </c>
      <c r="E106" s="838"/>
      <c r="F106" s="839"/>
      <c r="G106" s="532">
        <v>1</v>
      </c>
      <c r="H106" s="532" t="s">
        <v>217</v>
      </c>
      <c r="I106" s="95">
        <v>3500</v>
      </c>
      <c r="J106" s="89">
        <f t="shared" si="10"/>
        <v>3500</v>
      </c>
      <c r="M106" s="824" t="s">
        <v>54</v>
      </c>
      <c r="N106" s="824"/>
      <c r="O106" s="824"/>
      <c r="P106" s="824"/>
      <c r="Q106" s="824"/>
      <c r="R106" s="824"/>
      <c r="S106" s="824"/>
      <c r="T106" s="824"/>
      <c r="U106" s="824"/>
    </row>
    <row r="107" spans="3:21">
      <c r="C107" s="96">
        <v>3</v>
      </c>
      <c r="D107" s="813" t="s">
        <v>32</v>
      </c>
      <c r="E107" s="813"/>
      <c r="F107" s="813"/>
      <c r="G107" s="519"/>
      <c r="H107" s="519"/>
      <c r="I107" s="97"/>
      <c r="J107" s="98">
        <f>SUM(J108:J111)</f>
        <v>1402500</v>
      </c>
      <c r="M107" s="824" t="s">
        <v>55</v>
      </c>
      <c r="N107" s="824"/>
      <c r="O107" s="824"/>
      <c r="P107" s="824"/>
      <c r="Q107" s="824"/>
      <c r="R107" s="824"/>
      <c r="S107" s="824"/>
      <c r="T107" s="824"/>
      <c r="U107" s="824"/>
    </row>
    <row r="108" spans="3:21">
      <c r="C108" s="94"/>
      <c r="D108" s="834" t="s">
        <v>813</v>
      </c>
      <c r="E108" s="835"/>
      <c r="F108" s="835"/>
      <c r="G108" s="532">
        <v>15</v>
      </c>
      <c r="H108" s="532" t="s">
        <v>241</v>
      </c>
      <c r="I108" s="97">
        <v>27500</v>
      </c>
      <c r="J108" s="97">
        <f>G108*I108</f>
        <v>412500</v>
      </c>
      <c r="M108" s="824" t="s">
        <v>53</v>
      </c>
      <c r="N108" s="824"/>
      <c r="O108" s="824"/>
      <c r="P108" s="824"/>
      <c r="Q108" s="824"/>
      <c r="R108" s="824"/>
      <c r="S108" s="824"/>
      <c r="T108" s="824"/>
      <c r="U108" s="824"/>
    </row>
    <row r="109" spans="3:21">
      <c r="C109" s="94"/>
      <c r="D109" s="902" t="s">
        <v>700</v>
      </c>
      <c r="E109" s="900"/>
      <c r="F109" s="901"/>
      <c r="G109" s="532">
        <v>2</v>
      </c>
      <c r="H109" s="532" t="s">
        <v>241</v>
      </c>
      <c r="I109" s="97">
        <v>220000</v>
      </c>
      <c r="J109" s="97">
        <f t="shared" ref="J109:J111" si="11">G109*I109</f>
        <v>440000</v>
      </c>
      <c r="M109" s="77"/>
      <c r="N109" s="78"/>
      <c r="O109" s="78"/>
      <c r="P109" s="77"/>
      <c r="Q109" s="77"/>
      <c r="R109" s="79"/>
      <c r="S109" s="79"/>
      <c r="T109" s="80"/>
      <c r="U109" s="80"/>
    </row>
    <row r="110" spans="3:21">
      <c r="C110" s="94"/>
      <c r="D110" s="834" t="s">
        <v>703</v>
      </c>
      <c r="E110" s="835"/>
      <c r="F110" s="835"/>
      <c r="G110" s="532">
        <v>500</v>
      </c>
      <c r="H110" s="532" t="s">
        <v>241</v>
      </c>
      <c r="I110" s="97">
        <v>800</v>
      </c>
      <c r="J110" s="97">
        <f t="shared" si="11"/>
        <v>400000</v>
      </c>
      <c r="M110" s="78">
        <v>1</v>
      </c>
      <c r="N110" s="249" t="s">
        <v>172</v>
      </c>
      <c r="O110" s="249"/>
      <c r="P110" s="249" t="s">
        <v>474</v>
      </c>
      <c r="Q110" s="249"/>
      <c r="R110" s="81"/>
      <c r="S110" s="81"/>
      <c r="T110" s="82"/>
      <c r="U110" s="82"/>
    </row>
    <row r="111" spans="3:21">
      <c r="C111" s="94"/>
      <c r="D111" s="834" t="s">
        <v>758</v>
      </c>
      <c r="E111" s="835"/>
      <c r="F111" s="835"/>
      <c r="G111" s="532">
        <v>2</v>
      </c>
      <c r="H111" s="532" t="s">
        <v>288</v>
      </c>
      <c r="I111" s="97">
        <v>75000</v>
      </c>
      <c r="J111" s="97">
        <f t="shared" si="11"/>
        <v>150000</v>
      </c>
      <c r="M111" s="78">
        <v>2</v>
      </c>
      <c r="N111" s="249" t="s">
        <v>173</v>
      </c>
      <c r="O111" s="249"/>
      <c r="P111" s="919" t="s">
        <v>916</v>
      </c>
      <c r="Q111" s="919"/>
      <c r="R111" s="919"/>
      <c r="S111" s="919"/>
      <c r="T111" s="919"/>
      <c r="U111" s="82"/>
    </row>
    <row r="112" spans="3:21">
      <c r="C112" s="101"/>
      <c r="D112" s="811" t="s">
        <v>221</v>
      </c>
      <c r="E112" s="811"/>
      <c r="F112" s="811"/>
      <c r="G112" s="812"/>
      <c r="H112" s="812"/>
      <c r="I112" s="102"/>
      <c r="J112" s="109">
        <f>J93</f>
        <v>2909500</v>
      </c>
      <c r="M112" s="78">
        <v>3</v>
      </c>
      <c r="N112" s="249" t="s">
        <v>174</v>
      </c>
      <c r="O112" s="249"/>
      <c r="P112" s="249" t="s">
        <v>865</v>
      </c>
      <c r="Q112" s="249"/>
      <c r="R112" s="81"/>
      <c r="S112" s="81"/>
      <c r="T112" s="82"/>
      <c r="U112" s="82"/>
    </row>
    <row r="113" spans="3:21" ht="28.5" customHeight="1">
      <c r="C113" s="200" t="s">
        <v>432</v>
      </c>
      <c r="D113" s="820" t="s">
        <v>787</v>
      </c>
      <c r="E113" s="820"/>
      <c r="F113" s="820"/>
      <c r="G113" s="821" t="s">
        <v>793</v>
      </c>
      <c r="H113" s="821"/>
      <c r="I113" s="87"/>
      <c r="J113" s="264">
        <f>SUM(J114+J128)</f>
        <v>26191700</v>
      </c>
      <c r="M113" s="78">
        <v>4</v>
      </c>
      <c r="N113" s="249" t="s">
        <v>183</v>
      </c>
      <c r="O113" s="249"/>
      <c r="P113" s="249" t="s">
        <v>213</v>
      </c>
      <c r="Q113" s="250"/>
      <c r="R113" s="81"/>
      <c r="S113" s="81"/>
      <c r="T113" s="82"/>
      <c r="U113" s="82"/>
    </row>
    <row r="114" spans="3:21">
      <c r="C114" s="88">
        <v>2</v>
      </c>
      <c r="D114" s="820" t="s">
        <v>34</v>
      </c>
      <c r="E114" s="820"/>
      <c r="F114" s="820"/>
      <c r="G114" s="532" t="s">
        <v>246</v>
      </c>
      <c r="H114" s="532" t="s">
        <v>219</v>
      </c>
      <c r="I114" s="89"/>
      <c r="J114" s="99">
        <f>SUM(J115:J127)</f>
        <v>9132000</v>
      </c>
      <c r="M114" s="78">
        <v>5</v>
      </c>
      <c r="N114" s="249" t="s">
        <v>184</v>
      </c>
      <c r="O114" s="249"/>
      <c r="P114" s="249" t="s">
        <v>236</v>
      </c>
      <c r="Q114" s="251">
        <f>U120</f>
        <v>15826000</v>
      </c>
      <c r="R114" s="81"/>
      <c r="S114" s="81"/>
      <c r="T114" s="82"/>
      <c r="U114" s="82"/>
    </row>
    <row r="115" spans="3:21">
      <c r="C115" s="91"/>
      <c r="D115" s="822" t="s">
        <v>214</v>
      </c>
      <c r="E115" s="822"/>
      <c r="F115" s="822"/>
      <c r="G115" s="532">
        <v>1</v>
      </c>
      <c r="H115" s="197" t="s">
        <v>233</v>
      </c>
      <c r="I115" s="92">
        <v>500000</v>
      </c>
      <c r="J115" s="92">
        <f>G115*I115</f>
        <v>500000</v>
      </c>
      <c r="M115" s="78">
        <v>6</v>
      </c>
      <c r="N115" s="249" t="s">
        <v>234</v>
      </c>
      <c r="O115" s="249"/>
      <c r="P115" s="249" t="s">
        <v>236</v>
      </c>
      <c r="Q115" s="251">
        <f>U120</f>
        <v>15826000</v>
      </c>
      <c r="R115" s="81"/>
      <c r="S115" s="81"/>
      <c r="T115" s="82"/>
      <c r="U115" s="82"/>
    </row>
    <row r="116" spans="3:21">
      <c r="C116" s="91"/>
      <c r="D116" s="823" t="s">
        <v>41</v>
      </c>
      <c r="E116" s="823"/>
      <c r="F116" s="823"/>
      <c r="G116" s="937">
        <v>192000</v>
      </c>
      <c r="H116" s="937"/>
      <c r="I116" s="92"/>
      <c r="J116" s="92"/>
      <c r="M116" s="78">
        <v>7</v>
      </c>
      <c r="N116" s="249" t="s">
        <v>194</v>
      </c>
      <c r="O116" s="249"/>
      <c r="P116" s="249"/>
      <c r="Q116" s="249"/>
      <c r="R116" s="194"/>
      <c r="S116" s="81"/>
      <c r="T116" s="82"/>
      <c r="U116" s="82"/>
    </row>
    <row r="117" spans="3:21" ht="24">
      <c r="C117" s="91"/>
      <c r="D117" s="835" t="s">
        <v>207</v>
      </c>
      <c r="E117" s="835"/>
      <c r="F117" s="835"/>
      <c r="G117" s="532">
        <v>1</v>
      </c>
      <c r="H117" s="532" t="s">
        <v>64</v>
      </c>
      <c r="I117" s="92">
        <f>G116*25%</f>
        <v>48000</v>
      </c>
      <c r="J117" s="92">
        <f>SUM(G117*I117)</f>
        <v>48000</v>
      </c>
      <c r="N117" s="920" t="s">
        <v>56</v>
      </c>
      <c r="O117" s="528" t="s">
        <v>0</v>
      </c>
      <c r="P117" s="523"/>
      <c r="Q117" s="529"/>
      <c r="R117" s="828" t="s">
        <v>57</v>
      </c>
      <c r="S117" s="830"/>
      <c r="T117" s="83" t="s">
        <v>58</v>
      </c>
      <c r="U117" s="83" t="s">
        <v>59</v>
      </c>
    </row>
    <row r="118" spans="3:21">
      <c r="C118" s="91"/>
      <c r="D118" s="835" t="s">
        <v>695</v>
      </c>
      <c r="E118" s="835"/>
      <c r="F118" s="835"/>
      <c r="G118" s="532">
        <v>1</v>
      </c>
      <c r="H118" s="532" t="s">
        <v>64</v>
      </c>
      <c r="I118" s="92">
        <f>G116*15%</f>
        <v>28800</v>
      </c>
      <c r="J118" s="92">
        <f>SUM(G118*I118)</f>
        <v>28800</v>
      </c>
      <c r="N118" s="921"/>
      <c r="O118" s="530"/>
      <c r="P118" s="524"/>
      <c r="Q118" s="531"/>
      <c r="R118" s="831"/>
      <c r="S118" s="833"/>
      <c r="T118" s="84" t="s">
        <v>52</v>
      </c>
      <c r="U118" s="84" t="s">
        <v>247</v>
      </c>
    </row>
    <row r="119" spans="3:21">
      <c r="C119" s="91"/>
      <c r="D119" s="835" t="s">
        <v>70</v>
      </c>
      <c r="E119" s="835"/>
      <c r="F119" s="835"/>
      <c r="G119" s="532">
        <v>6</v>
      </c>
      <c r="H119" s="532" t="s">
        <v>64</v>
      </c>
      <c r="I119" s="92">
        <f>G116*60%/6</f>
        <v>19200</v>
      </c>
      <c r="J119" s="92">
        <f>SUM(G119*I119)</f>
        <v>115200</v>
      </c>
      <c r="N119" s="526">
        <v>1</v>
      </c>
      <c r="O119" s="814">
        <v>2</v>
      </c>
      <c r="P119" s="815"/>
      <c r="Q119" s="816"/>
      <c r="R119" s="938">
        <v>3</v>
      </c>
      <c r="S119" s="938"/>
      <c r="T119" s="85">
        <v>4</v>
      </c>
      <c r="U119" s="85">
        <v>5</v>
      </c>
    </row>
    <row r="120" spans="3:21">
      <c r="C120" s="91"/>
      <c r="D120" s="836" t="s">
        <v>215</v>
      </c>
      <c r="E120" s="836"/>
      <c r="F120" s="836"/>
      <c r="G120" s="532">
        <v>1</v>
      </c>
      <c r="H120" s="532" t="s">
        <v>217</v>
      </c>
      <c r="I120" s="92">
        <v>150000</v>
      </c>
      <c r="J120" s="92">
        <f t="shared" ref="J120:J127" si="12">SUM(G120*I120)</f>
        <v>150000</v>
      </c>
      <c r="N120" s="86" t="s">
        <v>849</v>
      </c>
      <c r="O120" s="939" t="s">
        <v>850</v>
      </c>
      <c r="P120" s="940"/>
      <c r="Q120" s="941"/>
      <c r="R120" s="933"/>
      <c r="S120" s="934"/>
      <c r="T120" s="87"/>
      <c r="U120" s="264">
        <f>U121+U133</f>
        <v>15826000</v>
      </c>
    </row>
    <row r="121" spans="3:21">
      <c r="C121" s="91"/>
      <c r="D121" s="836" t="s">
        <v>216</v>
      </c>
      <c r="E121" s="836"/>
      <c r="F121" s="836"/>
      <c r="G121" s="532">
        <v>1</v>
      </c>
      <c r="H121" s="532" t="s">
        <v>217</v>
      </c>
      <c r="I121" s="92">
        <v>50000</v>
      </c>
      <c r="J121" s="92">
        <f t="shared" si="12"/>
        <v>50000</v>
      </c>
      <c r="N121" s="88">
        <v>2</v>
      </c>
      <c r="O121" s="939" t="s">
        <v>34</v>
      </c>
      <c r="P121" s="940"/>
      <c r="Q121" s="941"/>
      <c r="R121" s="532" t="s">
        <v>630</v>
      </c>
      <c r="S121" s="532" t="s">
        <v>631</v>
      </c>
      <c r="T121" s="89"/>
      <c r="U121" s="99">
        <f>SUM(U122:U132)</f>
        <v>5674900</v>
      </c>
    </row>
    <row r="122" spans="3:21">
      <c r="C122" s="91"/>
      <c r="D122" s="837" t="s">
        <v>628</v>
      </c>
      <c r="E122" s="838"/>
      <c r="F122" s="839"/>
      <c r="G122" s="532">
        <v>86</v>
      </c>
      <c r="H122" s="532" t="s">
        <v>644</v>
      </c>
      <c r="I122" s="92">
        <v>60000</v>
      </c>
      <c r="J122" s="92">
        <f t="shared" si="12"/>
        <v>5160000</v>
      </c>
      <c r="N122" s="91"/>
      <c r="O122" s="922" t="s">
        <v>214</v>
      </c>
      <c r="P122" s="923"/>
      <c r="Q122" s="924"/>
      <c r="R122" s="532">
        <v>1</v>
      </c>
      <c r="S122" s="532" t="s">
        <v>403</v>
      </c>
      <c r="T122" s="92">
        <v>500000</v>
      </c>
      <c r="U122" s="92">
        <f>SUM(R122*T122)</f>
        <v>500000</v>
      </c>
    </row>
    <row r="123" spans="3:21">
      <c r="C123" s="94"/>
      <c r="D123" s="836" t="s">
        <v>642</v>
      </c>
      <c r="E123" s="836"/>
      <c r="F123" s="836"/>
      <c r="G123" s="532">
        <v>33</v>
      </c>
      <c r="H123" s="532" t="s">
        <v>644</v>
      </c>
      <c r="I123" s="95">
        <v>70000</v>
      </c>
      <c r="J123" s="92">
        <f t="shared" si="12"/>
        <v>2310000</v>
      </c>
      <c r="N123" s="91"/>
      <c r="O123" s="925" t="s">
        <v>41</v>
      </c>
      <c r="P123" s="926"/>
      <c r="Q123" s="927"/>
      <c r="R123" s="935">
        <v>1104000</v>
      </c>
      <c r="S123" s="936"/>
      <c r="T123" s="92"/>
      <c r="U123" s="92">
        <f t="shared" ref="U123:U132" si="13">SUM(R123*T123)</f>
        <v>0</v>
      </c>
    </row>
    <row r="124" spans="3:21">
      <c r="C124" s="94"/>
      <c r="D124" s="837" t="s">
        <v>785</v>
      </c>
      <c r="E124" s="838"/>
      <c r="F124" s="839"/>
      <c r="G124" s="532">
        <v>8</v>
      </c>
      <c r="H124" s="532" t="s">
        <v>644</v>
      </c>
      <c r="I124" s="95">
        <v>60000</v>
      </c>
      <c r="J124" s="89">
        <f t="shared" si="12"/>
        <v>480000</v>
      </c>
      <c r="N124" s="91"/>
      <c r="O124" s="899" t="s">
        <v>207</v>
      </c>
      <c r="P124" s="900"/>
      <c r="Q124" s="901"/>
      <c r="R124" s="532">
        <v>1</v>
      </c>
      <c r="S124" s="532" t="s">
        <v>64</v>
      </c>
      <c r="T124" s="92">
        <f>R123*25%</f>
        <v>276000</v>
      </c>
      <c r="U124" s="92">
        <f t="shared" si="13"/>
        <v>276000</v>
      </c>
    </row>
    <row r="125" spans="3:21">
      <c r="C125" s="94"/>
      <c r="D125" s="837" t="s">
        <v>715</v>
      </c>
      <c r="E125" s="838"/>
      <c r="F125" s="839"/>
      <c r="G125" s="532">
        <v>5</v>
      </c>
      <c r="H125" s="532" t="s">
        <v>699</v>
      </c>
      <c r="I125" s="95">
        <v>27600</v>
      </c>
      <c r="J125" s="89">
        <f t="shared" si="12"/>
        <v>138000</v>
      </c>
      <c r="N125" s="91"/>
      <c r="O125" s="899" t="s">
        <v>696</v>
      </c>
      <c r="P125" s="900"/>
      <c r="Q125" s="901"/>
      <c r="R125" s="532">
        <v>1</v>
      </c>
      <c r="S125" s="532" t="s">
        <v>64</v>
      </c>
      <c r="T125" s="92">
        <f>R123*15%</f>
        <v>165600</v>
      </c>
      <c r="U125" s="92">
        <f t="shared" si="13"/>
        <v>165600</v>
      </c>
    </row>
    <row r="126" spans="3:21">
      <c r="C126" s="94"/>
      <c r="D126" s="837" t="s">
        <v>719</v>
      </c>
      <c r="E126" s="838"/>
      <c r="F126" s="839"/>
      <c r="G126" s="532">
        <v>10</v>
      </c>
      <c r="H126" s="532" t="s">
        <v>217</v>
      </c>
      <c r="I126" s="95">
        <v>14500</v>
      </c>
      <c r="J126" s="89">
        <f t="shared" si="12"/>
        <v>145000</v>
      </c>
      <c r="N126" s="91"/>
      <c r="O126" s="899" t="s">
        <v>70</v>
      </c>
      <c r="P126" s="900"/>
      <c r="Q126" s="901"/>
      <c r="R126" s="532">
        <v>6</v>
      </c>
      <c r="S126" s="532" t="s">
        <v>64</v>
      </c>
      <c r="T126" s="92">
        <f>R123*60%/R126</f>
        <v>110400</v>
      </c>
      <c r="U126" s="92">
        <f t="shared" si="13"/>
        <v>662400</v>
      </c>
    </row>
    <row r="127" spans="3:21">
      <c r="C127" s="94"/>
      <c r="D127" s="837" t="s">
        <v>780</v>
      </c>
      <c r="E127" s="838"/>
      <c r="F127" s="839"/>
      <c r="G127" s="532">
        <v>2</v>
      </c>
      <c r="H127" s="532" t="s">
        <v>217</v>
      </c>
      <c r="I127" s="95">
        <v>3500</v>
      </c>
      <c r="J127" s="89">
        <f t="shared" si="12"/>
        <v>7000</v>
      </c>
      <c r="N127" s="91"/>
      <c r="O127" s="837" t="s">
        <v>215</v>
      </c>
      <c r="P127" s="838"/>
      <c r="Q127" s="839"/>
      <c r="R127" s="532">
        <v>1</v>
      </c>
      <c r="S127" s="532" t="s">
        <v>217</v>
      </c>
      <c r="T127" s="92">
        <v>150000</v>
      </c>
      <c r="U127" s="92">
        <f t="shared" si="13"/>
        <v>150000</v>
      </c>
    </row>
    <row r="128" spans="3:21">
      <c r="C128" s="96">
        <v>3</v>
      </c>
      <c r="D128" s="813" t="s">
        <v>32</v>
      </c>
      <c r="E128" s="813"/>
      <c r="F128" s="813"/>
      <c r="G128" s="519"/>
      <c r="H128" s="519"/>
      <c r="I128" s="97"/>
      <c r="J128" s="98">
        <f>SUM(J129:J135)</f>
        <v>17059700</v>
      </c>
      <c r="N128" s="91"/>
      <c r="O128" s="837" t="s">
        <v>216</v>
      </c>
      <c r="P128" s="838"/>
      <c r="Q128" s="839"/>
      <c r="R128" s="532">
        <v>1</v>
      </c>
      <c r="S128" s="532" t="s">
        <v>217</v>
      </c>
      <c r="T128" s="92">
        <v>100000</v>
      </c>
      <c r="U128" s="92">
        <f t="shared" si="13"/>
        <v>100000</v>
      </c>
    </row>
    <row r="129" spans="3:21">
      <c r="C129" s="94"/>
      <c r="D129" s="834" t="s">
        <v>700</v>
      </c>
      <c r="E129" s="835"/>
      <c r="F129" s="835"/>
      <c r="G129" s="252">
        <v>7</v>
      </c>
      <c r="H129" s="532" t="s">
        <v>241</v>
      </c>
      <c r="I129" s="97">
        <v>220000</v>
      </c>
      <c r="J129" s="97">
        <f>G129*I129</f>
        <v>1540000</v>
      </c>
      <c r="N129" s="91"/>
      <c r="O129" s="837" t="s">
        <v>628</v>
      </c>
      <c r="P129" s="838"/>
      <c r="Q129" s="839"/>
      <c r="R129" s="532">
        <v>35.93</v>
      </c>
      <c r="S129" s="532" t="s">
        <v>644</v>
      </c>
      <c r="T129" s="92">
        <v>60000</v>
      </c>
      <c r="U129" s="92">
        <f t="shared" si="13"/>
        <v>2155800</v>
      </c>
    </row>
    <row r="130" spans="3:21">
      <c r="C130" s="94"/>
      <c r="D130" s="834" t="s">
        <v>703</v>
      </c>
      <c r="E130" s="835"/>
      <c r="F130" s="835"/>
      <c r="G130" s="94">
        <v>7650</v>
      </c>
      <c r="H130" s="94" t="s">
        <v>102</v>
      </c>
      <c r="I130" s="97">
        <v>800</v>
      </c>
      <c r="J130" s="97">
        <f t="shared" ref="J130:J135" si="14">G130*I130</f>
        <v>6120000</v>
      </c>
      <c r="N130" s="94"/>
      <c r="O130" s="837" t="s">
        <v>642</v>
      </c>
      <c r="P130" s="838"/>
      <c r="Q130" s="839"/>
      <c r="R130" s="532">
        <v>20.78</v>
      </c>
      <c r="S130" s="532" t="s">
        <v>644</v>
      </c>
      <c r="T130" s="95">
        <v>70000</v>
      </c>
      <c r="U130" s="92">
        <f t="shared" si="13"/>
        <v>1454600</v>
      </c>
    </row>
    <row r="131" spans="3:21">
      <c r="C131" s="94"/>
      <c r="D131" s="834" t="s">
        <v>701</v>
      </c>
      <c r="E131" s="835"/>
      <c r="F131" s="835"/>
      <c r="G131" s="532">
        <v>3</v>
      </c>
      <c r="H131" s="532" t="s">
        <v>241</v>
      </c>
      <c r="I131" s="97">
        <v>300000</v>
      </c>
      <c r="J131" s="97">
        <f t="shared" si="14"/>
        <v>900000</v>
      </c>
      <c r="N131" s="94"/>
      <c r="O131" s="837" t="s">
        <v>819</v>
      </c>
      <c r="P131" s="838"/>
      <c r="Q131" s="839"/>
      <c r="R131" s="532">
        <v>5</v>
      </c>
      <c r="S131" s="532" t="s">
        <v>699</v>
      </c>
      <c r="T131" s="95">
        <v>27600</v>
      </c>
      <c r="U131" s="92">
        <f t="shared" si="13"/>
        <v>138000</v>
      </c>
    </row>
    <row r="132" spans="3:21">
      <c r="C132" s="94"/>
      <c r="D132" s="834" t="s">
        <v>758</v>
      </c>
      <c r="E132" s="835"/>
      <c r="F132" s="835"/>
      <c r="G132" s="532">
        <v>74</v>
      </c>
      <c r="H132" s="532" t="s">
        <v>288</v>
      </c>
      <c r="I132" s="97">
        <v>75000</v>
      </c>
      <c r="J132" s="97">
        <f t="shared" si="14"/>
        <v>5550000</v>
      </c>
      <c r="N132" s="94"/>
      <c r="O132" s="837" t="s">
        <v>719</v>
      </c>
      <c r="P132" s="838"/>
      <c r="Q132" s="839"/>
      <c r="R132" s="532">
        <v>5</v>
      </c>
      <c r="S132" s="532" t="s">
        <v>217</v>
      </c>
      <c r="T132" s="95">
        <v>14500</v>
      </c>
      <c r="U132" s="92">
        <f t="shared" si="13"/>
        <v>72500</v>
      </c>
    </row>
    <row r="133" spans="3:21">
      <c r="C133" s="94"/>
      <c r="D133" s="902" t="s">
        <v>708</v>
      </c>
      <c r="E133" s="900"/>
      <c r="F133" s="901"/>
      <c r="G133" s="252">
        <v>6</v>
      </c>
      <c r="H133" s="532" t="s">
        <v>241</v>
      </c>
      <c r="I133" s="97">
        <v>280000</v>
      </c>
      <c r="J133" s="97">
        <f t="shared" si="14"/>
        <v>1680000</v>
      </c>
      <c r="N133" s="96">
        <v>3</v>
      </c>
      <c r="O133" s="917" t="s">
        <v>32</v>
      </c>
      <c r="P133" s="928"/>
      <c r="Q133" s="929"/>
      <c r="R133" s="519"/>
      <c r="S133" s="519"/>
      <c r="T133" s="97"/>
      <c r="U133" s="98">
        <f>SUM(U134:U138)</f>
        <v>10151100</v>
      </c>
    </row>
    <row r="134" spans="3:21">
      <c r="C134" s="94"/>
      <c r="D134" s="902" t="s">
        <v>792</v>
      </c>
      <c r="E134" s="900"/>
      <c r="F134" s="901"/>
      <c r="G134" s="532">
        <v>45</v>
      </c>
      <c r="H134" s="532" t="s">
        <v>251</v>
      </c>
      <c r="I134" s="97">
        <v>27500</v>
      </c>
      <c r="J134" s="97">
        <f t="shared" si="14"/>
        <v>1237500</v>
      </c>
      <c r="N134" s="94"/>
      <c r="O134" s="902" t="s">
        <v>702</v>
      </c>
      <c r="P134" s="900"/>
      <c r="Q134" s="901"/>
      <c r="R134" s="532">
        <v>18</v>
      </c>
      <c r="S134" s="532" t="s">
        <v>241</v>
      </c>
      <c r="T134" s="97">
        <v>220000</v>
      </c>
      <c r="U134" s="97">
        <f>R134*T134</f>
        <v>3960000</v>
      </c>
    </row>
    <row r="135" spans="3:21">
      <c r="C135" s="94"/>
      <c r="D135" s="902" t="s">
        <v>764</v>
      </c>
      <c r="E135" s="900"/>
      <c r="F135" s="901"/>
      <c r="G135" s="532">
        <v>2</v>
      </c>
      <c r="H135" s="532" t="s">
        <v>250</v>
      </c>
      <c r="I135" s="97">
        <v>16100</v>
      </c>
      <c r="J135" s="97">
        <f t="shared" si="14"/>
        <v>32200</v>
      </c>
      <c r="N135" s="94"/>
      <c r="O135" s="902" t="s">
        <v>700</v>
      </c>
      <c r="P135" s="900"/>
      <c r="Q135" s="901"/>
      <c r="R135" s="94">
        <v>10</v>
      </c>
      <c r="S135" s="94" t="s">
        <v>241</v>
      </c>
      <c r="T135" s="97">
        <v>220000</v>
      </c>
      <c r="U135" s="97">
        <f t="shared" ref="U135:U138" si="15">R135*T135</f>
        <v>2200000</v>
      </c>
    </row>
    <row r="136" spans="3:21">
      <c r="C136" s="101"/>
      <c r="D136" s="811" t="s">
        <v>221</v>
      </c>
      <c r="E136" s="811"/>
      <c r="F136" s="811"/>
      <c r="G136" s="812"/>
      <c r="H136" s="812"/>
      <c r="I136" s="102"/>
      <c r="J136" s="109">
        <f>J113</f>
        <v>26191700</v>
      </c>
      <c r="N136" s="94"/>
      <c r="O136" s="902" t="s">
        <v>758</v>
      </c>
      <c r="P136" s="900"/>
      <c r="Q136" s="901"/>
      <c r="R136" s="532">
        <v>49</v>
      </c>
      <c r="S136" s="532" t="s">
        <v>242</v>
      </c>
      <c r="T136" s="97">
        <v>75000</v>
      </c>
      <c r="U136" s="97">
        <f t="shared" si="15"/>
        <v>3675000</v>
      </c>
    </row>
    <row r="137" spans="3:21" ht="27.75" customHeight="1">
      <c r="C137" s="200" t="s">
        <v>433</v>
      </c>
      <c r="D137" s="820" t="s">
        <v>895</v>
      </c>
      <c r="E137" s="820"/>
      <c r="F137" s="820"/>
      <c r="G137" s="821" t="s">
        <v>893</v>
      </c>
      <c r="H137" s="821"/>
      <c r="I137" s="87"/>
      <c r="J137" s="264">
        <f>SUM(J138+J150)</f>
        <v>18973000</v>
      </c>
      <c r="N137" s="94"/>
      <c r="O137" s="902" t="s">
        <v>753</v>
      </c>
      <c r="P137" s="900"/>
      <c r="Q137" s="901"/>
      <c r="R137" s="532">
        <v>10</v>
      </c>
      <c r="S137" s="532" t="s">
        <v>722</v>
      </c>
      <c r="T137" s="97">
        <v>30000</v>
      </c>
      <c r="U137" s="97">
        <f t="shared" si="15"/>
        <v>300000</v>
      </c>
    </row>
    <row r="138" spans="3:21">
      <c r="C138" s="88">
        <v>2</v>
      </c>
      <c r="D138" s="820" t="s">
        <v>34</v>
      </c>
      <c r="E138" s="820"/>
      <c r="F138" s="820"/>
      <c r="G138" s="532" t="s">
        <v>630</v>
      </c>
      <c r="H138" s="532" t="s">
        <v>631</v>
      </c>
      <c r="I138" s="533" t="s">
        <v>794</v>
      </c>
      <c r="J138" s="99">
        <f>SUM(J139:J149)</f>
        <v>3135500</v>
      </c>
      <c r="N138" s="94"/>
      <c r="O138" s="902" t="s">
        <v>806</v>
      </c>
      <c r="P138" s="900"/>
      <c r="Q138" s="901"/>
      <c r="R138" s="532">
        <v>1</v>
      </c>
      <c r="S138" s="532" t="s">
        <v>250</v>
      </c>
      <c r="T138" s="97">
        <v>16100</v>
      </c>
      <c r="U138" s="97">
        <f t="shared" si="15"/>
        <v>16100</v>
      </c>
    </row>
    <row r="139" spans="3:21">
      <c r="C139" s="91"/>
      <c r="D139" s="822" t="s">
        <v>214</v>
      </c>
      <c r="E139" s="822"/>
      <c r="F139" s="822"/>
      <c r="G139" s="532">
        <v>1</v>
      </c>
      <c r="H139" s="197" t="s">
        <v>233</v>
      </c>
      <c r="I139" s="92">
        <v>500000</v>
      </c>
      <c r="J139" s="92">
        <f>G139*I139</f>
        <v>500000</v>
      </c>
      <c r="N139" s="101"/>
      <c r="O139" s="930" t="s">
        <v>221</v>
      </c>
      <c r="P139" s="931"/>
      <c r="Q139" s="932"/>
      <c r="R139" s="515"/>
      <c r="S139" s="515"/>
      <c r="T139" s="102"/>
      <c r="U139" s="109">
        <f>U120</f>
        <v>15826000</v>
      </c>
    </row>
    <row r="140" spans="3:21">
      <c r="C140" s="91"/>
      <c r="D140" s="823" t="s">
        <v>41</v>
      </c>
      <c r="E140" s="823"/>
      <c r="F140" s="823"/>
      <c r="G140" s="937">
        <v>1312000</v>
      </c>
      <c r="H140" s="937"/>
      <c r="I140" s="92"/>
      <c r="J140" s="92"/>
      <c r="N140" s="77"/>
      <c r="O140" s="77"/>
      <c r="P140" s="78" t="s">
        <v>76</v>
      </c>
      <c r="Q140" s="81"/>
      <c r="R140" s="78"/>
      <c r="S140" s="810" t="s">
        <v>77</v>
      </c>
      <c r="T140" s="810"/>
      <c r="U140" s="810"/>
    </row>
    <row r="141" spans="3:21">
      <c r="C141" s="91"/>
      <c r="D141" s="835" t="s">
        <v>207</v>
      </c>
      <c r="E141" s="835"/>
      <c r="F141" s="835"/>
      <c r="G141" s="532">
        <v>1</v>
      </c>
      <c r="H141" s="532" t="s">
        <v>64</v>
      </c>
      <c r="I141" s="92">
        <f>G140*25%</f>
        <v>328000</v>
      </c>
      <c r="J141" s="92">
        <f>SUM(G141*I141)</f>
        <v>328000</v>
      </c>
      <c r="N141" s="77"/>
      <c r="O141" s="77"/>
      <c r="P141" s="78" t="s">
        <v>78</v>
      </c>
      <c r="Q141" s="81"/>
      <c r="R141" s="522"/>
      <c r="S141" s="79"/>
      <c r="T141" s="104"/>
      <c r="U141" s="104"/>
    </row>
    <row r="142" spans="3:21">
      <c r="C142" s="91"/>
      <c r="D142" s="835" t="s">
        <v>695</v>
      </c>
      <c r="E142" s="835"/>
      <c r="F142" s="835"/>
      <c r="G142" s="532">
        <v>1</v>
      </c>
      <c r="H142" s="532" t="s">
        <v>64</v>
      </c>
      <c r="I142" s="92">
        <f>G140*15%</f>
        <v>196800</v>
      </c>
      <c r="J142" s="92">
        <f>SUM(G142*I142)</f>
        <v>196800</v>
      </c>
      <c r="N142" s="77"/>
      <c r="O142" s="522"/>
      <c r="P142" s="522"/>
      <c r="Q142" s="522"/>
      <c r="R142" s="522"/>
      <c r="S142" s="79"/>
      <c r="T142" s="80"/>
      <c r="U142" s="80"/>
    </row>
    <row r="143" spans="3:21">
      <c r="C143" s="91"/>
      <c r="D143" s="835" t="s">
        <v>70</v>
      </c>
      <c r="E143" s="835"/>
      <c r="F143" s="835"/>
      <c r="G143" s="532">
        <v>6</v>
      </c>
      <c r="H143" s="532" t="s">
        <v>64</v>
      </c>
      <c r="I143" s="92">
        <f>G140*60%/6</f>
        <v>131200</v>
      </c>
      <c r="J143" s="92">
        <f>SUM(G143*I143)</f>
        <v>787200</v>
      </c>
      <c r="N143" s="77"/>
      <c r="O143" s="522"/>
      <c r="P143" s="522"/>
      <c r="Q143" s="522"/>
      <c r="R143" s="522"/>
      <c r="S143" s="79"/>
      <c r="T143" s="80"/>
      <c r="U143" s="80"/>
    </row>
    <row r="144" spans="3:21">
      <c r="C144" s="91"/>
      <c r="D144" s="836" t="s">
        <v>215</v>
      </c>
      <c r="E144" s="836"/>
      <c r="F144" s="836"/>
      <c r="G144" s="532">
        <v>1</v>
      </c>
      <c r="H144" s="532" t="s">
        <v>217</v>
      </c>
      <c r="I144" s="92">
        <v>150000</v>
      </c>
      <c r="J144" s="92">
        <f t="shared" ref="J144:J149" si="16">SUM(G144*I144)</f>
        <v>150000</v>
      </c>
      <c r="N144" s="77"/>
      <c r="O144" s="522"/>
      <c r="P144" s="522"/>
      <c r="Q144" s="522"/>
      <c r="R144" s="522"/>
      <c r="S144" s="79"/>
      <c r="T144" s="80"/>
      <c r="U144" s="80"/>
    </row>
    <row r="145" spans="3:21">
      <c r="C145" s="91"/>
      <c r="D145" s="836" t="s">
        <v>216</v>
      </c>
      <c r="E145" s="836"/>
      <c r="F145" s="836"/>
      <c r="G145" s="532">
        <v>1</v>
      </c>
      <c r="H145" s="532" t="s">
        <v>217</v>
      </c>
      <c r="I145" s="92">
        <v>50000</v>
      </c>
      <c r="J145" s="92">
        <f t="shared" si="16"/>
        <v>50000</v>
      </c>
      <c r="N145" s="77"/>
      <c r="O145" s="522"/>
      <c r="P145" s="78" t="s">
        <v>51</v>
      </c>
      <c r="Q145" s="81"/>
      <c r="R145" s="78"/>
      <c r="S145" s="810" t="s">
        <v>225</v>
      </c>
      <c r="T145" s="810"/>
      <c r="U145" s="810"/>
    </row>
    <row r="146" spans="3:21">
      <c r="C146" s="91"/>
      <c r="D146" s="837" t="s">
        <v>628</v>
      </c>
      <c r="E146" s="838"/>
      <c r="F146" s="839"/>
      <c r="G146" s="532">
        <v>10</v>
      </c>
      <c r="H146" s="532" t="s">
        <v>644</v>
      </c>
      <c r="I146" s="92">
        <v>60000</v>
      </c>
      <c r="J146" s="92">
        <f t="shared" si="16"/>
        <v>600000</v>
      </c>
    </row>
    <row r="147" spans="3:21">
      <c r="C147" s="94"/>
      <c r="D147" s="836" t="s">
        <v>898</v>
      </c>
      <c r="E147" s="836"/>
      <c r="F147" s="836"/>
      <c r="G147" s="532">
        <v>4</v>
      </c>
      <c r="H147" s="532" t="s">
        <v>644</v>
      </c>
      <c r="I147" s="95">
        <v>70000</v>
      </c>
      <c r="J147" s="92">
        <f t="shared" si="16"/>
        <v>280000</v>
      </c>
    </row>
    <row r="148" spans="3:21">
      <c r="C148" s="94"/>
      <c r="D148" s="837" t="s">
        <v>801</v>
      </c>
      <c r="E148" s="838"/>
      <c r="F148" s="839"/>
      <c r="G148" s="532">
        <v>1</v>
      </c>
      <c r="H148" s="532" t="s">
        <v>241</v>
      </c>
      <c r="I148" s="95">
        <v>200000</v>
      </c>
      <c r="J148" s="89">
        <f t="shared" si="16"/>
        <v>200000</v>
      </c>
    </row>
    <row r="149" spans="3:21">
      <c r="C149" s="94"/>
      <c r="D149" s="837" t="s">
        <v>719</v>
      </c>
      <c r="E149" s="838"/>
      <c r="F149" s="839"/>
      <c r="G149" s="532">
        <v>3</v>
      </c>
      <c r="H149" s="532" t="s">
        <v>217</v>
      </c>
      <c r="I149" s="95">
        <v>14500</v>
      </c>
      <c r="J149" s="89">
        <f t="shared" si="16"/>
        <v>43500</v>
      </c>
    </row>
    <row r="150" spans="3:21">
      <c r="C150" s="96">
        <v>3</v>
      </c>
      <c r="D150" s="813" t="s">
        <v>32</v>
      </c>
      <c r="E150" s="813"/>
      <c r="F150" s="813"/>
      <c r="G150" s="519"/>
      <c r="H150" s="519"/>
      <c r="I150" s="97"/>
      <c r="J150" s="98">
        <f>SUM(J151:J157)</f>
        <v>15837500</v>
      </c>
    </row>
    <row r="151" spans="3:21">
      <c r="C151" s="94"/>
      <c r="D151" s="834" t="s">
        <v>701</v>
      </c>
      <c r="E151" s="835"/>
      <c r="F151" s="835"/>
      <c r="G151" s="532">
        <v>2</v>
      </c>
      <c r="H151" s="532" t="s">
        <v>241</v>
      </c>
      <c r="I151" s="97">
        <v>300000</v>
      </c>
      <c r="J151" s="97">
        <f>G151*I151</f>
        <v>600000</v>
      </c>
    </row>
    <row r="152" spans="3:21">
      <c r="C152" s="94"/>
      <c r="D152" s="834" t="s">
        <v>758</v>
      </c>
      <c r="E152" s="835"/>
      <c r="F152" s="835"/>
      <c r="G152" s="532">
        <v>8</v>
      </c>
      <c r="H152" s="532" t="s">
        <v>288</v>
      </c>
      <c r="I152" s="97">
        <v>75000</v>
      </c>
      <c r="J152" s="97">
        <f t="shared" ref="J152:J156" si="17">G152*I152</f>
        <v>600000</v>
      </c>
    </row>
    <row r="153" spans="3:21">
      <c r="C153" s="94"/>
      <c r="D153" s="902" t="s">
        <v>708</v>
      </c>
      <c r="E153" s="900"/>
      <c r="F153" s="901"/>
      <c r="G153" s="252">
        <v>2</v>
      </c>
      <c r="H153" s="532" t="s">
        <v>241</v>
      </c>
      <c r="I153" s="97">
        <v>280000</v>
      </c>
      <c r="J153" s="97">
        <f t="shared" si="17"/>
        <v>560000</v>
      </c>
    </row>
    <row r="154" spans="3:21">
      <c r="C154" s="94"/>
      <c r="D154" s="902" t="s">
        <v>897</v>
      </c>
      <c r="E154" s="900"/>
      <c r="F154" s="901"/>
      <c r="G154" s="532">
        <v>7</v>
      </c>
      <c r="H154" s="532" t="s">
        <v>803</v>
      </c>
      <c r="I154" s="97">
        <v>1710000</v>
      </c>
      <c r="J154" s="97">
        <f t="shared" si="17"/>
        <v>11970000</v>
      </c>
    </row>
    <row r="155" spans="3:21">
      <c r="C155" s="94"/>
      <c r="D155" s="902" t="s">
        <v>799</v>
      </c>
      <c r="E155" s="900"/>
      <c r="F155" s="901"/>
      <c r="G155" s="532">
        <v>75</v>
      </c>
      <c r="H155" s="532" t="s">
        <v>802</v>
      </c>
      <c r="I155" s="97">
        <v>12500</v>
      </c>
      <c r="J155" s="97">
        <f t="shared" si="17"/>
        <v>937500</v>
      </c>
    </row>
    <row r="156" spans="3:21">
      <c r="C156" s="94"/>
      <c r="D156" s="902" t="s">
        <v>800</v>
      </c>
      <c r="E156" s="915"/>
      <c r="F156" s="916"/>
      <c r="G156" s="532">
        <v>1</v>
      </c>
      <c r="H156" s="532" t="s">
        <v>639</v>
      </c>
      <c r="I156" s="95">
        <v>170000</v>
      </c>
      <c r="J156" s="97">
        <f t="shared" si="17"/>
        <v>170000</v>
      </c>
    </row>
    <row r="157" spans="3:21">
      <c r="C157" s="94"/>
      <c r="D157" s="902" t="s">
        <v>896</v>
      </c>
      <c r="E157" s="915"/>
      <c r="F157" s="916"/>
      <c r="G157" s="532">
        <v>5</v>
      </c>
      <c r="H157" s="532" t="s">
        <v>241</v>
      </c>
      <c r="I157" s="95">
        <v>200000</v>
      </c>
      <c r="J157" s="97">
        <f>G157*I157</f>
        <v>1000000</v>
      </c>
    </row>
    <row r="158" spans="3:21">
      <c r="C158" s="101"/>
      <c r="D158" s="811" t="s">
        <v>221</v>
      </c>
      <c r="E158" s="811"/>
      <c r="F158" s="811"/>
      <c r="G158" s="812"/>
      <c r="H158" s="812"/>
      <c r="I158" s="102"/>
      <c r="J158" s="109">
        <f>J137</f>
        <v>18973000</v>
      </c>
    </row>
    <row r="159" spans="3:21" ht="40.5" customHeight="1">
      <c r="C159" s="200" t="s">
        <v>434</v>
      </c>
      <c r="D159" s="820" t="s">
        <v>804</v>
      </c>
      <c r="E159" s="820"/>
      <c r="F159" s="820"/>
      <c r="G159" s="821" t="s">
        <v>805</v>
      </c>
      <c r="H159" s="821"/>
      <c r="I159" s="87"/>
      <c r="J159" s="264">
        <f>SUM(J160+J172)</f>
        <v>13403700</v>
      </c>
    </row>
    <row r="160" spans="3:21">
      <c r="C160" s="88">
        <v>2</v>
      </c>
      <c r="D160" s="820" t="s">
        <v>34</v>
      </c>
      <c r="E160" s="820"/>
      <c r="F160" s="820"/>
      <c r="G160" s="532" t="s">
        <v>630</v>
      </c>
      <c r="H160" s="532" t="s">
        <v>631</v>
      </c>
      <c r="I160" s="533" t="s">
        <v>794</v>
      </c>
      <c r="J160" s="99">
        <f>SUM(J161:J171)</f>
        <v>4979900</v>
      </c>
    </row>
    <row r="161" spans="3:10">
      <c r="C161" s="91"/>
      <c r="D161" s="822" t="s">
        <v>214</v>
      </c>
      <c r="E161" s="822"/>
      <c r="F161" s="822"/>
      <c r="G161" s="532">
        <v>1</v>
      </c>
      <c r="H161" s="197" t="s">
        <v>233</v>
      </c>
      <c r="I161" s="92">
        <v>500000</v>
      </c>
      <c r="J161" s="92">
        <f>G161*I161</f>
        <v>500000</v>
      </c>
    </row>
    <row r="162" spans="3:10">
      <c r="C162" s="91"/>
      <c r="D162" s="823" t="s">
        <v>41</v>
      </c>
      <c r="E162" s="823"/>
      <c r="F162" s="823"/>
      <c r="G162" s="937">
        <v>935000</v>
      </c>
      <c r="H162" s="937"/>
      <c r="I162" s="92"/>
      <c r="J162" s="92"/>
    </row>
    <row r="163" spans="3:10">
      <c r="C163" s="91"/>
      <c r="D163" s="835" t="s">
        <v>207</v>
      </c>
      <c r="E163" s="835"/>
      <c r="F163" s="835"/>
      <c r="G163" s="532">
        <v>1</v>
      </c>
      <c r="H163" s="532" t="s">
        <v>64</v>
      </c>
      <c r="I163" s="92">
        <f>G162*25%</f>
        <v>233750</v>
      </c>
      <c r="J163" s="92">
        <f>SUM(G163*I163)</f>
        <v>233750</v>
      </c>
    </row>
    <row r="164" spans="3:10">
      <c r="C164" s="91"/>
      <c r="D164" s="835" t="s">
        <v>695</v>
      </c>
      <c r="E164" s="835"/>
      <c r="F164" s="835"/>
      <c r="G164" s="532">
        <v>1</v>
      </c>
      <c r="H164" s="532" t="s">
        <v>64</v>
      </c>
      <c r="I164" s="92">
        <f>G162*15%</f>
        <v>140250</v>
      </c>
      <c r="J164" s="92">
        <f>SUM(G164*I164)</f>
        <v>140250</v>
      </c>
    </row>
    <row r="165" spans="3:10">
      <c r="C165" s="91"/>
      <c r="D165" s="835" t="s">
        <v>70</v>
      </c>
      <c r="E165" s="835"/>
      <c r="F165" s="835"/>
      <c r="G165" s="532">
        <v>6</v>
      </c>
      <c r="H165" s="532" t="s">
        <v>64</v>
      </c>
      <c r="I165" s="92">
        <f>G162*60%/6</f>
        <v>93500</v>
      </c>
      <c r="J165" s="92">
        <f>SUM(G165*I165)</f>
        <v>561000</v>
      </c>
    </row>
    <row r="166" spans="3:10">
      <c r="C166" s="91"/>
      <c r="D166" s="836" t="s">
        <v>215</v>
      </c>
      <c r="E166" s="836"/>
      <c r="F166" s="836"/>
      <c r="G166" s="532">
        <v>1</v>
      </c>
      <c r="H166" s="532" t="s">
        <v>217</v>
      </c>
      <c r="I166" s="92">
        <v>150000</v>
      </c>
      <c r="J166" s="92">
        <f t="shared" ref="J166:J171" si="18">SUM(G166*I166)</f>
        <v>150000</v>
      </c>
    </row>
    <row r="167" spans="3:10">
      <c r="C167" s="91"/>
      <c r="D167" s="836" t="s">
        <v>216</v>
      </c>
      <c r="E167" s="836"/>
      <c r="F167" s="836"/>
      <c r="G167" s="532">
        <v>1</v>
      </c>
      <c r="H167" s="532" t="s">
        <v>217</v>
      </c>
      <c r="I167" s="92">
        <v>50000</v>
      </c>
      <c r="J167" s="92">
        <f t="shared" si="18"/>
        <v>50000</v>
      </c>
    </row>
    <row r="168" spans="3:10">
      <c r="C168" s="91"/>
      <c r="D168" s="837" t="s">
        <v>628</v>
      </c>
      <c r="E168" s="838"/>
      <c r="F168" s="839"/>
      <c r="G168" s="532">
        <v>26</v>
      </c>
      <c r="H168" s="532" t="s">
        <v>644</v>
      </c>
      <c r="I168" s="92">
        <v>60000</v>
      </c>
      <c r="J168" s="92">
        <f t="shared" si="18"/>
        <v>1560000</v>
      </c>
    </row>
    <row r="169" spans="3:10">
      <c r="C169" s="94"/>
      <c r="D169" s="836" t="s">
        <v>642</v>
      </c>
      <c r="E169" s="836"/>
      <c r="F169" s="836"/>
      <c r="G169" s="532">
        <v>15</v>
      </c>
      <c r="H169" s="532" t="s">
        <v>644</v>
      </c>
      <c r="I169" s="95">
        <v>70000</v>
      </c>
      <c r="J169" s="92">
        <f t="shared" si="18"/>
        <v>1050000</v>
      </c>
    </row>
    <row r="170" spans="3:10">
      <c r="C170" s="94"/>
      <c r="D170" s="837" t="s">
        <v>715</v>
      </c>
      <c r="E170" s="838"/>
      <c r="F170" s="839"/>
      <c r="G170" s="532">
        <v>24</v>
      </c>
      <c r="H170" s="532" t="s">
        <v>722</v>
      </c>
      <c r="I170" s="95">
        <v>27600</v>
      </c>
      <c r="J170" s="89">
        <f t="shared" si="18"/>
        <v>662400</v>
      </c>
    </row>
    <row r="171" spans="3:10">
      <c r="C171" s="94"/>
      <c r="D171" s="837" t="s">
        <v>719</v>
      </c>
      <c r="E171" s="838"/>
      <c r="F171" s="839"/>
      <c r="G171" s="532">
        <v>5</v>
      </c>
      <c r="H171" s="532" t="s">
        <v>217</v>
      </c>
      <c r="I171" s="95">
        <v>14500</v>
      </c>
      <c r="J171" s="89">
        <f t="shared" si="18"/>
        <v>72500</v>
      </c>
    </row>
    <row r="172" spans="3:10">
      <c r="C172" s="96">
        <v>3</v>
      </c>
      <c r="D172" s="813" t="s">
        <v>32</v>
      </c>
      <c r="E172" s="813"/>
      <c r="F172" s="813"/>
      <c r="G172" s="519"/>
      <c r="H172" s="519"/>
      <c r="I172" s="97"/>
      <c r="J172" s="98">
        <f>SUM(J173:J176)</f>
        <v>8423800</v>
      </c>
    </row>
    <row r="173" spans="3:10">
      <c r="C173" s="94"/>
      <c r="D173" s="834" t="s">
        <v>701</v>
      </c>
      <c r="E173" s="835"/>
      <c r="F173" s="835"/>
      <c r="G173" s="532">
        <v>6</v>
      </c>
      <c r="H173" s="532" t="s">
        <v>241</v>
      </c>
      <c r="I173" s="97">
        <v>300000</v>
      </c>
      <c r="J173" s="97">
        <f>G173*I173</f>
        <v>1800000</v>
      </c>
    </row>
    <row r="174" spans="3:10">
      <c r="C174" s="94"/>
      <c r="D174" s="834" t="s">
        <v>758</v>
      </c>
      <c r="E174" s="835"/>
      <c r="F174" s="835"/>
      <c r="G174" s="532">
        <v>53</v>
      </c>
      <c r="H174" s="532" t="s">
        <v>288</v>
      </c>
      <c r="I174" s="97">
        <v>75000</v>
      </c>
      <c r="J174" s="97">
        <f t="shared" ref="J174:J176" si="19">G174*I174</f>
        <v>3975000</v>
      </c>
    </row>
    <row r="175" spans="3:10">
      <c r="C175" s="94"/>
      <c r="D175" s="902" t="s">
        <v>708</v>
      </c>
      <c r="E175" s="900"/>
      <c r="F175" s="901"/>
      <c r="G175" s="252">
        <v>9</v>
      </c>
      <c r="H175" s="532" t="s">
        <v>241</v>
      </c>
      <c r="I175" s="97">
        <v>280000</v>
      </c>
      <c r="J175" s="97">
        <f t="shared" si="19"/>
        <v>2520000</v>
      </c>
    </row>
    <row r="176" spans="3:10">
      <c r="C176" s="94"/>
      <c r="D176" s="902" t="s">
        <v>806</v>
      </c>
      <c r="E176" s="900"/>
      <c r="F176" s="901"/>
      <c r="G176" s="532">
        <v>8</v>
      </c>
      <c r="H176" s="532" t="s">
        <v>250</v>
      </c>
      <c r="I176" s="97">
        <v>16100</v>
      </c>
      <c r="J176" s="97">
        <f t="shared" si="19"/>
        <v>128800</v>
      </c>
    </row>
    <row r="177" spans="3:10">
      <c r="C177" s="94"/>
      <c r="D177" s="811" t="s">
        <v>221</v>
      </c>
      <c r="E177" s="811"/>
      <c r="F177" s="811"/>
      <c r="G177" s="532"/>
      <c r="H177" s="532"/>
      <c r="I177" s="95"/>
      <c r="J177" s="109">
        <f>J159</f>
        <v>13403700</v>
      </c>
    </row>
    <row r="178" spans="3:10" ht="38.25" customHeight="1">
      <c r="C178" s="200" t="s">
        <v>468</v>
      </c>
      <c r="D178" s="820" t="s">
        <v>807</v>
      </c>
      <c r="E178" s="820"/>
      <c r="F178" s="820"/>
      <c r="G178" s="821" t="s">
        <v>809</v>
      </c>
      <c r="H178" s="821"/>
      <c r="I178" s="87"/>
      <c r="J178" s="264">
        <f>SUM(J179+J191)</f>
        <v>22929800</v>
      </c>
    </row>
    <row r="179" spans="3:10">
      <c r="C179" s="88">
        <v>2</v>
      </c>
      <c r="D179" s="820" t="s">
        <v>34</v>
      </c>
      <c r="E179" s="820"/>
      <c r="F179" s="820"/>
      <c r="G179" s="532" t="s">
        <v>630</v>
      </c>
      <c r="H179" s="532" t="s">
        <v>631</v>
      </c>
      <c r="I179" s="533" t="s">
        <v>794</v>
      </c>
      <c r="J179" s="99">
        <f>SUM(J180:J190)</f>
        <v>7336000</v>
      </c>
    </row>
    <row r="180" spans="3:10">
      <c r="C180" s="91"/>
      <c r="D180" s="822" t="s">
        <v>214</v>
      </c>
      <c r="E180" s="822"/>
      <c r="F180" s="822"/>
      <c r="G180" s="532">
        <v>1</v>
      </c>
      <c r="H180" s="197" t="s">
        <v>233</v>
      </c>
      <c r="I180" s="92">
        <v>500000</v>
      </c>
      <c r="J180" s="92">
        <f>G180*I180</f>
        <v>500000</v>
      </c>
    </row>
    <row r="181" spans="3:10">
      <c r="C181" s="91"/>
      <c r="D181" s="823" t="s">
        <v>41</v>
      </c>
      <c r="E181" s="823"/>
      <c r="F181" s="823"/>
      <c r="G181" s="937">
        <v>1265000</v>
      </c>
      <c r="H181" s="937"/>
      <c r="I181" s="92"/>
      <c r="J181" s="92"/>
    </row>
    <row r="182" spans="3:10">
      <c r="C182" s="91"/>
      <c r="D182" s="835" t="s">
        <v>207</v>
      </c>
      <c r="E182" s="835"/>
      <c r="F182" s="835"/>
      <c r="G182" s="532">
        <v>1</v>
      </c>
      <c r="H182" s="532" t="s">
        <v>64</v>
      </c>
      <c r="I182" s="92">
        <f>G181*25%</f>
        <v>316250</v>
      </c>
      <c r="J182" s="92">
        <f>SUM(G182*I182)</f>
        <v>316250</v>
      </c>
    </row>
    <row r="183" spans="3:10">
      <c r="C183" s="91"/>
      <c r="D183" s="835" t="s">
        <v>695</v>
      </c>
      <c r="E183" s="835"/>
      <c r="F183" s="835"/>
      <c r="G183" s="532">
        <v>1</v>
      </c>
      <c r="H183" s="532" t="s">
        <v>64</v>
      </c>
      <c r="I183" s="92">
        <f>G181*15%</f>
        <v>189750</v>
      </c>
      <c r="J183" s="92">
        <f>SUM(G183*I183)</f>
        <v>189750</v>
      </c>
    </row>
    <row r="184" spans="3:10">
      <c r="C184" s="91"/>
      <c r="D184" s="835" t="s">
        <v>70</v>
      </c>
      <c r="E184" s="835"/>
      <c r="F184" s="835"/>
      <c r="G184" s="532">
        <v>6</v>
      </c>
      <c r="H184" s="532" t="s">
        <v>64</v>
      </c>
      <c r="I184" s="92">
        <f>G181*60%/6</f>
        <v>126500</v>
      </c>
      <c r="J184" s="92">
        <f>SUM(G184*I184)</f>
        <v>759000</v>
      </c>
    </row>
    <row r="185" spans="3:10">
      <c r="C185" s="91"/>
      <c r="D185" s="836" t="s">
        <v>215</v>
      </c>
      <c r="E185" s="836"/>
      <c r="F185" s="836"/>
      <c r="G185" s="532">
        <v>1</v>
      </c>
      <c r="H185" s="532" t="s">
        <v>217</v>
      </c>
      <c r="I185" s="92">
        <v>150000</v>
      </c>
      <c r="J185" s="92">
        <f t="shared" ref="J185:J190" si="20">SUM(G185*I185)</f>
        <v>150000</v>
      </c>
    </row>
    <row r="186" spans="3:10">
      <c r="C186" s="91"/>
      <c r="D186" s="836" t="s">
        <v>216</v>
      </c>
      <c r="E186" s="836"/>
      <c r="F186" s="836"/>
      <c r="G186" s="532">
        <v>1</v>
      </c>
      <c r="H186" s="532" t="s">
        <v>217</v>
      </c>
      <c r="I186" s="92">
        <v>50000</v>
      </c>
      <c r="J186" s="92">
        <f t="shared" si="20"/>
        <v>50000</v>
      </c>
    </row>
    <row r="187" spans="3:10">
      <c r="C187" s="91"/>
      <c r="D187" s="837" t="s">
        <v>628</v>
      </c>
      <c r="E187" s="838"/>
      <c r="F187" s="839"/>
      <c r="G187" s="532">
        <v>51</v>
      </c>
      <c r="H187" s="532" t="s">
        <v>644</v>
      </c>
      <c r="I187" s="92">
        <v>60000</v>
      </c>
      <c r="J187" s="92">
        <f t="shared" si="20"/>
        <v>3060000</v>
      </c>
    </row>
    <row r="188" spans="3:10">
      <c r="C188" s="94"/>
      <c r="D188" s="836" t="s">
        <v>642</v>
      </c>
      <c r="E188" s="836"/>
      <c r="F188" s="836"/>
      <c r="G188" s="532">
        <v>27</v>
      </c>
      <c r="H188" s="532" t="s">
        <v>644</v>
      </c>
      <c r="I188" s="95">
        <v>70000</v>
      </c>
      <c r="J188" s="92">
        <f t="shared" si="20"/>
        <v>1890000</v>
      </c>
    </row>
    <row r="189" spans="3:10">
      <c r="C189" s="94"/>
      <c r="D189" s="837" t="s">
        <v>715</v>
      </c>
      <c r="E189" s="838"/>
      <c r="F189" s="839"/>
      <c r="G189" s="532">
        <v>10</v>
      </c>
      <c r="H189" s="532" t="s">
        <v>722</v>
      </c>
      <c r="I189" s="95">
        <v>27600</v>
      </c>
      <c r="J189" s="89">
        <f t="shared" si="20"/>
        <v>276000</v>
      </c>
    </row>
    <row r="190" spans="3:10">
      <c r="C190" s="94"/>
      <c r="D190" s="837" t="s">
        <v>719</v>
      </c>
      <c r="E190" s="838"/>
      <c r="F190" s="839"/>
      <c r="G190" s="532">
        <v>10</v>
      </c>
      <c r="H190" s="532" t="s">
        <v>217</v>
      </c>
      <c r="I190" s="95">
        <v>14500</v>
      </c>
      <c r="J190" s="89">
        <f t="shared" si="20"/>
        <v>145000</v>
      </c>
    </row>
    <row r="191" spans="3:10">
      <c r="C191" s="96">
        <v>3</v>
      </c>
      <c r="D191" s="813" t="s">
        <v>32</v>
      </c>
      <c r="E191" s="813"/>
      <c r="F191" s="813"/>
      <c r="G191" s="519"/>
      <c r="H191" s="519"/>
      <c r="I191" s="97"/>
      <c r="J191" s="98">
        <f>SUM(J192:J198)</f>
        <v>15593800</v>
      </c>
    </row>
    <row r="192" spans="3:10">
      <c r="C192" s="94"/>
      <c r="D192" s="834" t="s">
        <v>701</v>
      </c>
      <c r="E192" s="835"/>
      <c r="F192" s="835"/>
      <c r="G192" s="532">
        <v>7</v>
      </c>
      <c r="H192" s="532" t="s">
        <v>241</v>
      </c>
      <c r="I192" s="97">
        <v>300000</v>
      </c>
      <c r="J192" s="97">
        <f>G192*I192</f>
        <v>2100000</v>
      </c>
    </row>
    <row r="193" spans="3:10">
      <c r="C193" s="94"/>
      <c r="D193" s="834" t="s">
        <v>758</v>
      </c>
      <c r="E193" s="835"/>
      <c r="F193" s="835"/>
      <c r="G193" s="532">
        <v>66</v>
      </c>
      <c r="H193" s="532" t="s">
        <v>288</v>
      </c>
      <c r="I193" s="97">
        <v>75000</v>
      </c>
      <c r="J193" s="97">
        <f t="shared" ref="J193:J198" si="21">G193*I193</f>
        <v>4950000</v>
      </c>
    </row>
    <row r="194" spans="3:10">
      <c r="C194" s="94"/>
      <c r="D194" s="902" t="s">
        <v>708</v>
      </c>
      <c r="E194" s="900"/>
      <c r="F194" s="901"/>
      <c r="G194" s="252">
        <v>12</v>
      </c>
      <c r="H194" s="532" t="s">
        <v>241</v>
      </c>
      <c r="I194" s="97">
        <v>280000</v>
      </c>
      <c r="J194" s="97">
        <f t="shared" si="21"/>
        <v>3360000</v>
      </c>
    </row>
    <row r="195" spans="3:10">
      <c r="C195" s="94"/>
      <c r="D195" s="902" t="s">
        <v>810</v>
      </c>
      <c r="E195" s="915"/>
      <c r="F195" s="916"/>
      <c r="G195" s="252">
        <v>9</v>
      </c>
      <c r="H195" s="532" t="s">
        <v>241</v>
      </c>
      <c r="I195" s="97">
        <v>115000</v>
      </c>
      <c r="J195" s="97">
        <f t="shared" si="21"/>
        <v>1035000</v>
      </c>
    </row>
    <row r="196" spans="3:10">
      <c r="C196" s="94"/>
      <c r="D196" s="902" t="s">
        <v>808</v>
      </c>
      <c r="E196" s="915"/>
      <c r="F196" s="916"/>
      <c r="G196" s="252">
        <v>3</v>
      </c>
      <c r="H196" s="532" t="s">
        <v>241</v>
      </c>
      <c r="I196" s="97">
        <v>220000</v>
      </c>
      <c r="J196" s="97">
        <f t="shared" si="21"/>
        <v>660000</v>
      </c>
    </row>
    <row r="197" spans="3:10">
      <c r="C197" s="94"/>
      <c r="D197" s="902" t="s">
        <v>703</v>
      </c>
      <c r="E197" s="915"/>
      <c r="F197" s="916"/>
      <c r="G197" s="532">
        <v>4200</v>
      </c>
      <c r="H197" s="532" t="s">
        <v>217</v>
      </c>
      <c r="I197" s="97">
        <v>800</v>
      </c>
      <c r="J197" s="97">
        <f t="shared" si="21"/>
        <v>3360000</v>
      </c>
    </row>
    <row r="198" spans="3:10">
      <c r="C198" s="94"/>
      <c r="D198" s="902" t="s">
        <v>806</v>
      </c>
      <c r="E198" s="900"/>
      <c r="F198" s="901"/>
      <c r="G198" s="532">
        <v>8</v>
      </c>
      <c r="H198" s="532" t="s">
        <v>250</v>
      </c>
      <c r="I198" s="97">
        <v>16100</v>
      </c>
      <c r="J198" s="97">
        <f t="shared" si="21"/>
        <v>128800</v>
      </c>
    </row>
    <row r="199" spans="3:10">
      <c r="C199" s="94"/>
      <c r="D199" s="811" t="s">
        <v>221</v>
      </c>
      <c r="E199" s="811"/>
      <c r="F199" s="811"/>
      <c r="G199" s="532"/>
      <c r="H199" s="532"/>
      <c r="I199" s="95"/>
      <c r="J199" s="109">
        <f>J178</f>
        <v>22929800</v>
      </c>
    </row>
    <row r="200" spans="3:10" ht="42" customHeight="1">
      <c r="C200" s="200" t="s">
        <v>469</v>
      </c>
      <c r="D200" s="820" t="s">
        <v>826</v>
      </c>
      <c r="E200" s="820"/>
      <c r="F200" s="820"/>
      <c r="G200" s="821" t="s">
        <v>824</v>
      </c>
      <c r="H200" s="821"/>
      <c r="I200" s="87"/>
      <c r="J200" s="264">
        <f>J201+J213</f>
        <v>10904300</v>
      </c>
    </row>
    <row r="201" spans="3:10">
      <c r="C201" s="88">
        <v>2</v>
      </c>
      <c r="D201" s="820" t="s">
        <v>34</v>
      </c>
      <c r="E201" s="820"/>
      <c r="F201" s="820"/>
      <c r="G201" s="532" t="s">
        <v>630</v>
      </c>
      <c r="H201" s="532" t="s">
        <v>631</v>
      </c>
      <c r="I201" s="533" t="s">
        <v>825</v>
      </c>
      <c r="J201" s="99">
        <f>SUM(J202:J212)</f>
        <v>3848200</v>
      </c>
    </row>
    <row r="202" spans="3:10">
      <c r="C202" s="91"/>
      <c r="D202" s="822" t="s">
        <v>214</v>
      </c>
      <c r="E202" s="822"/>
      <c r="F202" s="822"/>
      <c r="G202" s="532">
        <v>1</v>
      </c>
      <c r="H202" s="532" t="s">
        <v>233</v>
      </c>
      <c r="I202" s="92">
        <v>250000</v>
      </c>
      <c r="J202" s="92">
        <f>G202*I202</f>
        <v>250000</v>
      </c>
    </row>
    <row r="203" spans="3:10">
      <c r="C203" s="91"/>
      <c r="D203" s="823" t="s">
        <v>41</v>
      </c>
      <c r="E203" s="823"/>
      <c r="F203" s="823"/>
      <c r="G203" s="937">
        <v>760000</v>
      </c>
      <c r="H203" s="937"/>
      <c r="I203" s="92"/>
      <c r="J203" s="92"/>
    </row>
    <row r="204" spans="3:10">
      <c r="C204" s="91"/>
      <c r="D204" s="835" t="s">
        <v>207</v>
      </c>
      <c r="E204" s="835"/>
      <c r="F204" s="835"/>
      <c r="G204" s="532">
        <v>1</v>
      </c>
      <c r="H204" s="532" t="s">
        <v>64</v>
      </c>
      <c r="I204" s="92">
        <f>G203*25%</f>
        <v>190000</v>
      </c>
      <c r="J204" s="92">
        <f>SUM(G204*I204)</f>
        <v>190000</v>
      </c>
    </row>
    <row r="205" spans="3:10">
      <c r="C205" s="91"/>
      <c r="D205" s="835" t="s">
        <v>695</v>
      </c>
      <c r="E205" s="835"/>
      <c r="F205" s="835"/>
      <c r="G205" s="532">
        <v>1</v>
      </c>
      <c r="H205" s="532" t="s">
        <v>64</v>
      </c>
      <c r="I205" s="92">
        <f>G203*15%</f>
        <v>114000</v>
      </c>
      <c r="J205" s="92">
        <f>SUM(G205*I205)</f>
        <v>114000</v>
      </c>
    </row>
    <row r="206" spans="3:10">
      <c r="C206" s="91"/>
      <c r="D206" s="835" t="s">
        <v>70</v>
      </c>
      <c r="E206" s="835"/>
      <c r="F206" s="835"/>
      <c r="G206" s="532">
        <v>6</v>
      </c>
      <c r="H206" s="532" t="s">
        <v>64</v>
      </c>
      <c r="I206" s="92">
        <f>G203*60%/6</f>
        <v>76000</v>
      </c>
      <c r="J206" s="92">
        <f>SUM(G206*I206)</f>
        <v>456000</v>
      </c>
    </row>
    <row r="207" spans="3:10">
      <c r="C207" s="91"/>
      <c r="D207" s="836" t="s">
        <v>215</v>
      </c>
      <c r="E207" s="836"/>
      <c r="F207" s="836"/>
      <c r="G207" s="532">
        <v>1</v>
      </c>
      <c r="H207" s="532" t="s">
        <v>217</v>
      </c>
      <c r="I207" s="92">
        <v>150000</v>
      </c>
      <c r="J207" s="92">
        <f t="shared" ref="J207:J212" si="22">SUM(G207*I207)</f>
        <v>150000</v>
      </c>
    </row>
    <row r="208" spans="3:10">
      <c r="C208" s="91"/>
      <c r="D208" s="836" t="s">
        <v>216</v>
      </c>
      <c r="E208" s="836"/>
      <c r="F208" s="836"/>
      <c r="G208" s="532">
        <v>1</v>
      </c>
      <c r="H208" s="532" t="s">
        <v>217</v>
      </c>
      <c r="I208" s="92">
        <v>50000</v>
      </c>
      <c r="J208" s="92">
        <f t="shared" si="22"/>
        <v>50000</v>
      </c>
    </row>
    <row r="209" spans="3:10">
      <c r="C209" s="91"/>
      <c r="D209" s="837" t="s">
        <v>628</v>
      </c>
      <c r="E209" s="838"/>
      <c r="F209" s="839"/>
      <c r="G209" s="532">
        <v>22</v>
      </c>
      <c r="H209" s="532" t="s">
        <v>644</v>
      </c>
      <c r="I209" s="92">
        <v>60000</v>
      </c>
      <c r="J209" s="92">
        <f t="shared" si="22"/>
        <v>1320000</v>
      </c>
    </row>
    <row r="210" spans="3:10">
      <c r="C210" s="94"/>
      <c r="D210" s="836" t="s">
        <v>642</v>
      </c>
      <c r="E210" s="836"/>
      <c r="F210" s="836"/>
      <c r="G210" s="532">
        <v>14</v>
      </c>
      <c r="H210" s="532" t="s">
        <v>644</v>
      </c>
      <c r="I210" s="95">
        <v>70000</v>
      </c>
      <c r="J210" s="92">
        <f t="shared" si="22"/>
        <v>980000</v>
      </c>
    </row>
    <row r="211" spans="3:10">
      <c r="C211" s="94"/>
      <c r="D211" s="837" t="s">
        <v>715</v>
      </c>
      <c r="E211" s="838"/>
      <c r="F211" s="839"/>
      <c r="G211" s="532">
        <v>7</v>
      </c>
      <c r="H211" s="532" t="s">
        <v>699</v>
      </c>
      <c r="I211" s="95">
        <v>27600</v>
      </c>
      <c r="J211" s="89">
        <f t="shared" si="22"/>
        <v>193200</v>
      </c>
    </row>
    <row r="212" spans="3:10">
      <c r="C212" s="94"/>
      <c r="D212" s="837" t="s">
        <v>719</v>
      </c>
      <c r="E212" s="838"/>
      <c r="F212" s="839"/>
      <c r="G212" s="532">
        <v>10</v>
      </c>
      <c r="H212" s="532" t="s">
        <v>217</v>
      </c>
      <c r="I212" s="95">
        <v>14500</v>
      </c>
      <c r="J212" s="89">
        <f t="shared" si="22"/>
        <v>145000</v>
      </c>
    </row>
    <row r="213" spans="3:10">
      <c r="C213" s="96">
        <v>3</v>
      </c>
      <c r="D213" s="813" t="s">
        <v>32</v>
      </c>
      <c r="E213" s="813"/>
      <c r="F213" s="813"/>
      <c r="G213" s="519"/>
      <c r="H213" s="519"/>
      <c r="I213" s="97"/>
      <c r="J213" s="98">
        <f>SUM(J214:J217)</f>
        <v>7056100</v>
      </c>
    </row>
    <row r="214" spans="3:10">
      <c r="C214" s="94"/>
      <c r="D214" s="834" t="s">
        <v>701</v>
      </c>
      <c r="E214" s="835"/>
      <c r="F214" s="835"/>
      <c r="G214" s="532">
        <v>5</v>
      </c>
      <c r="H214" s="532" t="s">
        <v>241</v>
      </c>
      <c r="I214" s="97">
        <v>300000</v>
      </c>
      <c r="J214" s="97">
        <f>G214*I214</f>
        <v>1500000</v>
      </c>
    </row>
    <row r="215" spans="3:10">
      <c r="C215" s="94"/>
      <c r="D215" s="834" t="s">
        <v>708</v>
      </c>
      <c r="E215" s="835"/>
      <c r="F215" s="835"/>
      <c r="G215" s="94">
        <v>8</v>
      </c>
      <c r="H215" s="94" t="s">
        <v>102</v>
      </c>
      <c r="I215" s="97">
        <v>280000</v>
      </c>
      <c r="J215" s="97">
        <f t="shared" ref="J215:J217" si="23">G215*I215</f>
        <v>2240000</v>
      </c>
    </row>
    <row r="216" spans="3:10">
      <c r="C216" s="94"/>
      <c r="D216" s="834" t="s">
        <v>758</v>
      </c>
      <c r="E216" s="835"/>
      <c r="F216" s="835"/>
      <c r="G216" s="252">
        <v>44</v>
      </c>
      <c r="H216" s="532" t="s">
        <v>241</v>
      </c>
      <c r="I216" s="97">
        <v>75000</v>
      </c>
      <c r="J216" s="97">
        <f t="shared" si="23"/>
        <v>3300000</v>
      </c>
    </row>
    <row r="217" spans="3:10">
      <c r="C217" s="94"/>
      <c r="D217" s="834" t="s">
        <v>776</v>
      </c>
      <c r="E217" s="835"/>
      <c r="F217" s="835"/>
      <c r="G217" s="532">
        <v>1</v>
      </c>
      <c r="H217" s="532" t="s">
        <v>250</v>
      </c>
      <c r="I217" s="97">
        <v>16100</v>
      </c>
      <c r="J217" s="97">
        <f t="shared" si="23"/>
        <v>16100</v>
      </c>
    </row>
    <row r="218" spans="3:10">
      <c r="C218" s="101"/>
      <c r="D218" s="811" t="s">
        <v>221</v>
      </c>
      <c r="E218" s="811"/>
      <c r="F218" s="811"/>
      <c r="G218" s="812"/>
      <c r="H218" s="812"/>
      <c r="I218" s="102"/>
      <c r="J218" s="109">
        <f>J200</f>
        <v>10904300</v>
      </c>
    </row>
    <row r="219" spans="3:10" ht="40.5" customHeight="1">
      <c r="C219" s="200" t="s">
        <v>470</v>
      </c>
      <c r="D219" s="820" t="s">
        <v>828</v>
      </c>
      <c r="E219" s="820"/>
      <c r="F219" s="820"/>
      <c r="G219" s="821" t="s">
        <v>827</v>
      </c>
      <c r="H219" s="821"/>
      <c r="I219" s="87"/>
      <c r="J219" s="264">
        <f>J220+J232</f>
        <v>17586300</v>
      </c>
    </row>
    <row r="220" spans="3:10">
      <c r="C220" s="88">
        <v>2</v>
      </c>
      <c r="D220" s="820" t="s">
        <v>34</v>
      </c>
      <c r="E220" s="820"/>
      <c r="F220" s="820"/>
      <c r="G220" s="532" t="s">
        <v>630</v>
      </c>
      <c r="H220" s="532" t="s">
        <v>631</v>
      </c>
      <c r="I220" s="533" t="s">
        <v>825</v>
      </c>
      <c r="J220" s="99">
        <f>SUM(J221:J231)</f>
        <v>5905200</v>
      </c>
    </row>
    <row r="221" spans="3:10">
      <c r="C221" s="91"/>
      <c r="D221" s="822" t="s">
        <v>214</v>
      </c>
      <c r="E221" s="822"/>
      <c r="F221" s="822"/>
      <c r="G221" s="532">
        <v>1</v>
      </c>
      <c r="H221" s="532" t="s">
        <v>233</v>
      </c>
      <c r="I221" s="92">
        <v>250000</v>
      </c>
      <c r="J221" s="92">
        <f>G221*I221</f>
        <v>250000</v>
      </c>
    </row>
    <row r="222" spans="3:10">
      <c r="C222" s="91"/>
      <c r="D222" s="823" t="s">
        <v>41</v>
      </c>
      <c r="E222" s="823"/>
      <c r="F222" s="823"/>
      <c r="G222" s="937">
        <v>1227000</v>
      </c>
      <c r="H222" s="937"/>
      <c r="I222" s="92"/>
      <c r="J222" s="92"/>
    </row>
    <row r="223" spans="3:10">
      <c r="C223" s="91"/>
      <c r="D223" s="835" t="s">
        <v>207</v>
      </c>
      <c r="E223" s="835"/>
      <c r="F223" s="835"/>
      <c r="G223" s="532">
        <v>1</v>
      </c>
      <c r="H223" s="532" t="s">
        <v>64</v>
      </c>
      <c r="I223" s="92">
        <f>G222*25%</f>
        <v>306750</v>
      </c>
      <c r="J223" s="92">
        <f>SUM(G223*I223)</f>
        <v>306750</v>
      </c>
    </row>
    <row r="224" spans="3:10">
      <c r="C224" s="91"/>
      <c r="D224" s="835" t="s">
        <v>695</v>
      </c>
      <c r="E224" s="835"/>
      <c r="F224" s="835"/>
      <c r="G224" s="532">
        <v>1</v>
      </c>
      <c r="H224" s="532" t="s">
        <v>64</v>
      </c>
      <c r="I224" s="92">
        <f>G222*15%</f>
        <v>184050</v>
      </c>
      <c r="J224" s="92">
        <f>SUM(G224*I224)</f>
        <v>184050</v>
      </c>
    </row>
    <row r="225" spans="3:10">
      <c r="C225" s="91"/>
      <c r="D225" s="835" t="s">
        <v>70</v>
      </c>
      <c r="E225" s="835"/>
      <c r="F225" s="835"/>
      <c r="G225" s="532">
        <v>6</v>
      </c>
      <c r="H225" s="532" t="s">
        <v>64</v>
      </c>
      <c r="I225" s="92">
        <f>G222*60%/6</f>
        <v>122700</v>
      </c>
      <c r="J225" s="92">
        <f>SUM(G225*I225)</f>
        <v>736200</v>
      </c>
    </row>
    <row r="226" spans="3:10">
      <c r="C226" s="91"/>
      <c r="D226" s="836" t="s">
        <v>215</v>
      </c>
      <c r="E226" s="836"/>
      <c r="F226" s="836"/>
      <c r="G226" s="532">
        <v>1</v>
      </c>
      <c r="H226" s="532" t="s">
        <v>217</v>
      </c>
      <c r="I226" s="92">
        <v>150000</v>
      </c>
      <c r="J226" s="92">
        <f t="shared" ref="J226:J231" si="24">SUM(G226*I226)</f>
        <v>150000</v>
      </c>
    </row>
    <row r="227" spans="3:10">
      <c r="C227" s="91"/>
      <c r="D227" s="836" t="s">
        <v>216</v>
      </c>
      <c r="E227" s="836"/>
      <c r="F227" s="836"/>
      <c r="G227" s="532">
        <v>1</v>
      </c>
      <c r="H227" s="532" t="s">
        <v>217</v>
      </c>
      <c r="I227" s="92">
        <v>50000</v>
      </c>
      <c r="J227" s="92">
        <f t="shared" si="24"/>
        <v>50000</v>
      </c>
    </row>
    <row r="228" spans="3:10">
      <c r="C228" s="91"/>
      <c r="D228" s="837" t="s">
        <v>628</v>
      </c>
      <c r="E228" s="838"/>
      <c r="F228" s="839"/>
      <c r="G228" s="532">
        <v>38</v>
      </c>
      <c r="H228" s="532" t="s">
        <v>644</v>
      </c>
      <c r="I228" s="92">
        <v>60000</v>
      </c>
      <c r="J228" s="92">
        <f t="shared" si="24"/>
        <v>2280000</v>
      </c>
    </row>
    <row r="229" spans="3:10">
      <c r="C229" s="94"/>
      <c r="D229" s="836" t="s">
        <v>642</v>
      </c>
      <c r="E229" s="836"/>
      <c r="F229" s="836"/>
      <c r="G229" s="532">
        <v>23</v>
      </c>
      <c r="H229" s="532" t="s">
        <v>644</v>
      </c>
      <c r="I229" s="95">
        <v>70000</v>
      </c>
      <c r="J229" s="92">
        <f t="shared" si="24"/>
        <v>1610000</v>
      </c>
    </row>
    <row r="230" spans="3:10">
      <c r="C230" s="94"/>
      <c r="D230" s="837" t="s">
        <v>715</v>
      </c>
      <c r="E230" s="838"/>
      <c r="F230" s="839"/>
      <c r="G230" s="532">
        <v>7</v>
      </c>
      <c r="H230" s="532" t="s">
        <v>699</v>
      </c>
      <c r="I230" s="95">
        <v>27600</v>
      </c>
      <c r="J230" s="89">
        <f t="shared" si="24"/>
        <v>193200</v>
      </c>
    </row>
    <row r="231" spans="3:10">
      <c r="C231" s="94"/>
      <c r="D231" s="837" t="s">
        <v>719</v>
      </c>
      <c r="E231" s="838"/>
      <c r="F231" s="839"/>
      <c r="G231" s="532">
        <v>10</v>
      </c>
      <c r="H231" s="532" t="s">
        <v>217</v>
      </c>
      <c r="I231" s="95">
        <v>14500</v>
      </c>
      <c r="J231" s="89">
        <f t="shared" si="24"/>
        <v>145000</v>
      </c>
    </row>
    <row r="232" spans="3:10">
      <c r="C232" s="96">
        <v>3</v>
      </c>
      <c r="D232" s="813" t="s">
        <v>32</v>
      </c>
      <c r="E232" s="813"/>
      <c r="F232" s="813"/>
      <c r="G232" s="519"/>
      <c r="H232" s="519"/>
      <c r="I232" s="97"/>
      <c r="J232" s="98">
        <f>SUM(J233:J236)</f>
        <v>11681100</v>
      </c>
    </row>
    <row r="233" spans="3:10">
      <c r="C233" s="94"/>
      <c r="D233" s="834" t="s">
        <v>701</v>
      </c>
      <c r="E233" s="835"/>
      <c r="F233" s="835"/>
      <c r="G233" s="532">
        <v>8</v>
      </c>
      <c r="H233" s="532" t="s">
        <v>241</v>
      </c>
      <c r="I233" s="97">
        <v>300000</v>
      </c>
      <c r="J233" s="97">
        <f>G233*I233</f>
        <v>2400000</v>
      </c>
    </row>
    <row r="234" spans="3:10">
      <c r="C234" s="94"/>
      <c r="D234" s="834" t="s">
        <v>708</v>
      </c>
      <c r="E234" s="835"/>
      <c r="F234" s="835"/>
      <c r="G234" s="94">
        <v>13</v>
      </c>
      <c r="H234" s="94" t="s">
        <v>102</v>
      </c>
      <c r="I234" s="97">
        <v>280000</v>
      </c>
      <c r="J234" s="97">
        <f t="shared" ref="J234:J236" si="25">G234*I234</f>
        <v>3640000</v>
      </c>
    </row>
    <row r="235" spans="3:10">
      <c r="C235" s="94"/>
      <c r="D235" s="834" t="s">
        <v>758</v>
      </c>
      <c r="E235" s="835"/>
      <c r="F235" s="835"/>
      <c r="G235" s="252">
        <v>75</v>
      </c>
      <c r="H235" s="532" t="s">
        <v>241</v>
      </c>
      <c r="I235" s="97">
        <v>75000</v>
      </c>
      <c r="J235" s="97">
        <f t="shared" si="25"/>
        <v>5625000</v>
      </c>
    </row>
    <row r="236" spans="3:10">
      <c r="C236" s="94"/>
      <c r="D236" s="834" t="s">
        <v>776</v>
      </c>
      <c r="E236" s="835"/>
      <c r="F236" s="835"/>
      <c r="G236" s="532">
        <v>1</v>
      </c>
      <c r="H236" s="532" t="s">
        <v>250</v>
      </c>
      <c r="I236" s="97">
        <v>16100</v>
      </c>
      <c r="J236" s="97">
        <f t="shared" si="25"/>
        <v>16100</v>
      </c>
    </row>
    <row r="237" spans="3:10">
      <c r="C237" s="101"/>
      <c r="D237" s="811" t="s">
        <v>221</v>
      </c>
      <c r="E237" s="811"/>
      <c r="F237" s="811"/>
      <c r="G237" s="812"/>
      <c r="H237" s="812"/>
      <c r="I237" s="102"/>
      <c r="J237" s="109">
        <f>J219</f>
        <v>17586300</v>
      </c>
    </row>
    <row r="238" spans="3:10" ht="39.75" customHeight="1">
      <c r="C238" s="200" t="s">
        <v>488</v>
      </c>
      <c r="D238" s="820" t="s">
        <v>833</v>
      </c>
      <c r="E238" s="820"/>
      <c r="F238" s="820"/>
      <c r="G238" s="821" t="s">
        <v>829</v>
      </c>
      <c r="H238" s="821"/>
      <c r="I238" s="87"/>
      <c r="J238" s="264">
        <f>J239+J254</f>
        <v>21428300</v>
      </c>
    </row>
    <row r="239" spans="3:10">
      <c r="C239" s="88">
        <v>2</v>
      </c>
      <c r="D239" s="820" t="s">
        <v>34</v>
      </c>
      <c r="E239" s="820"/>
      <c r="F239" s="820"/>
      <c r="G239" s="532" t="s">
        <v>630</v>
      </c>
      <c r="H239" s="532" t="s">
        <v>631</v>
      </c>
      <c r="I239" s="533" t="s">
        <v>825</v>
      </c>
      <c r="J239" s="99">
        <f>SUM(J240:J253)</f>
        <v>6831200</v>
      </c>
    </row>
    <row r="240" spans="3:10">
      <c r="C240" s="91"/>
      <c r="D240" s="822" t="s">
        <v>214</v>
      </c>
      <c r="E240" s="822"/>
      <c r="F240" s="822"/>
      <c r="G240" s="532">
        <v>1</v>
      </c>
      <c r="H240" s="532" t="s">
        <v>233</v>
      </c>
      <c r="I240" s="92">
        <v>250000</v>
      </c>
      <c r="J240" s="92">
        <f>G240*I240</f>
        <v>250000</v>
      </c>
    </row>
    <row r="241" spans="3:10">
      <c r="C241" s="91"/>
      <c r="D241" s="823" t="s">
        <v>41</v>
      </c>
      <c r="E241" s="823"/>
      <c r="F241" s="823"/>
      <c r="G241" s="937">
        <v>1415000</v>
      </c>
      <c r="H241" s="937"/>
      <c r="I241" s="92"/>
      <c r="J241" s="92"/>
    </row>
    <row r="242" spans="3:10">
      <c r="C242" s="91"/>
      <c r="D242" s="835" t="s">
        <v>207</v>
      </c>
      <c r="E242" s="835"/>
      <c r="F242" s="835"/>
      <c r="G242" s="532">
        <v>1</v>
      </c>
      <c r="H242" s="532" t="s">
        <v>64</v>
      </c>
      <c r="I242" s="92">
        <f>G241*25%</f>
        <v>353750</v>
      </c>
      <c r="J242" s="92">
        <f>SUM(G242*I242)</f>
        <v>353750</v>
      </c>
    </row>
    <row r="243" spans="3:10">
      <c r="C243" s="91"/>
      <c r="D243" s="835" t="s">
        <v>695</v>
      </c>
      <c r="E243" s="835"/>
      <c r="F243" s="835"/>
      <c r="G243" s="532">
        <v>1</v>
      </c>
      <c r="H243" s="532" t="s">
        <v>64</v>
      </c>
      <c r="I243" s="92">
        <f>G241*15%</f>
        <v>212250</v>
      </c>
      <c r="J243" s="92">
        <f>SUM(G243*I243)</f>
        <v>212250</v>
      </c>
    </row>
    <row r="244" spans="3:10">
      <c r="C244" s="91"/>
      <c r="D244" s="835" t="s">
        <v>70</v>
      </c>
      <c r="E244" s="835"/>
      <c r="F244" s="835"/>
      <c r="G244" s="532">
        <v>6</v>
      </c>
      <c r="H244" s="532" t="s">
        <v>64</v>
      </c>
      <c r="I244" s="92">
        <f>G241*60%/6</f>
        <v>141500</v>
      </c>
      <c r="J244" s="92">
        <f>SUM(G244*I244)</f>
        <v>849000</v>
      </c>
    </row>
    <row r="245" spans="3:10">
      <c r="C245" s="91"/>
      <c r="D245" s="836" t="s">
        <v>215</v>
      </c>
      <c r="E245" s="836"/>
      <c r="F245" s="836"/>
      <c r="G245" s="532">
        <v>1</v>
      </c>
      <c r="H245" s="532" t="s">
        <v>217</v>
      </c>
      <c r="I245" s="92">
        <v>150000</v>
      </c>
      <c r="J245" s="92">
        <f t="shared" ref="J245:J253" si="26">SUM(G245*I245)</f>
        <v>150000</v>
      </c>
    </row>
    <row r="246" spans="3:10">
      <c r="C246" s="91"/>
      <c r="D246" s="836" t="s">
        <v>216</v>
      </c>
      <c r="E246" s="836"/>
      <c r="F246" s="836"/>
      <c r="G246" s="532">
        <v>1</v>
      </c>
      <c r="H246" s="532" t="s">
        <v>217</v>
      </c>
      <c r="I246" s="92">
        <v>50000</v>
      </c>
      <c r="J246" s="92">
        <f t="shared" si="26"/>
        <v>50000</v>
      </c>
    </row>
    <row r="247" spans="3:10">
      <c r="C247" s="91"/>
      <c r="D247" s="837" t="s">
        <v>628</v>
      </c>
      <c r="E247" s="838"/>
      <c r="F247" s="839"/>
      <c r="G247" s="532">
        <v>41</v>
      </c>
      <c r="H247" s="532" t="s">
        <v>644</v>
      </c>
      <c r="I247" s="92">
        <v>60000</v>
      </c>
      <c r="J247" s="92">
        <f t="shared" si="26"/>
        <v>2460000</v>
      </c>
    </row>
    <row r="248" spans="3:10">
      <c r="C248" s="94"/>
      <c r="D248" s="836" t="s">
        <v>642</v>
      </c>
      <c r="E248" s="836"/>
      <c r="F248" s="836"/>
      <c r="G248" s="532">
        <v>17</v>
      </c>
      <c r="H248" s="532" t="s">
        <v>644</v>
      </c>
      <c r="I248" s="95">
        <v>70000</v>
      </c>
      <c r="J248" s="92">
        <f t="shared" si="26"/>
        <v>1190000</v>
      </c>
    </row>
    <row r="249" spans="3:10">
      <c r="C249" s="94"/>
      <c r="D249" s="837" t="s">
        <v>832</v>
      </c>
      <c r="E249" s="838"/>
      <c r="F249" s="839"/>
      <c r="G249" s="532">
        <v>13.8</v>
      </c>
      <c r="H249" s="532" t="s">
        <v>644</v>
      </c>
      <c r="I249" s="95">
        <v>60000</v>
      </c>
      <c r="J249" s="89">
        <f t="shared" si="26"/>
        <v>828000</v>
      </c>
    </row>
    <row r="250" spans="3:10">
      <c r="C250" s="94"/>
      <c r="D250" s="837" t="s">
        <v>715</v>
      </c>
      <c r="E250" s="838"/>
      <c r="F250" s="839"/>
      <c r="G250" s="532">
        <v>7</v>
      </c>
      <c r="H250" s="532" t="s">
        <v>699</v>
      </c>
      <c r="I250" s="95">
        <v>27600</v>
      </c>
      <c r="J250" s="89">
        <f t="shared" si="26"/>
        <v>193200</v>
      </c>
    </row>
    <row r="251" spans="3:10">
      <c r="C251" s="94"/>
      <c r="D251" s="837" t="s">
        <v>720</v>
      </c>
      <c r="E251" s="838"/>
      <c r="F251" s="839"/>
      <c r="G251" s="532">
        <v>1</v>
      </c>
      <c r="H251" s="532" t="s">
        <v>217</v>
      </c>
      <c r="I251" s="95">
        <v>75000</v>
      </c>
      <c r="J251" s="89">
        <f t="shared" si="26"/>
        <v>75000</v>
      </c>
    </row>
    <row r="252" spans="3:10">
      <c r="C252" s="94"/>
      <c r="D252" s="837" t="s">
        <v>750</v>
      </c>
      <c r="E252" s="838"/>
      <c r="F252" s="839"/>
      <c r="G252" s="532">
        <v>3</v>
      </c>
      <c r="H252" s="532" t="s">
        <v>102</v>
      </c>
      <c r="I252" s="95">
        <v>25000</v>
      </c>
      <c r="J252" s="89">
        <f t="shared" si="26"/>
        <v>75000</v>
      </c>
    </row>
    <row r="253" spans="3:10">
      <c r="C253" s="94"/>
      <c r="D253" s="837" t="s">
        <v>719</v>
      </c>
      <c r="E253" s="838"/>
      <c r="F253" s="839"/>
      <c r="G253" s="532">
        <v>10</v>
      </c>
      <c r="H253" s="532" t="s">
        <v>217</v>
      </c>
      <c r="I253" s="95">
        <v>14500</v>
      </c>
      <c r="J253" s="89">
        <f t="shared" si="26"/>
        <v>145000</v>
      </c>
    </row>
    <row r="254" spans="3:10">
      <c r="C254" s="96">
        <v>3</v>
      </c>
      <c r="D254" s="813" t="s">
        <v>32</v>
      </c>
      <c r="E254" s="813"/>
      <c r="F254" s="813"/>
      <c r="G254" s="519"/>
      <c r="H254" s="519"/>
      <c r="I254" s="97"/>
      <c r="J254" s="98">
        <f>SUM(J255:J262)</f>
        <v>14597100</v>
      </c>
    </row>
    <row r="255" spans="3:10">
      <c r="C255" s="96"/>
      <c r="D255" s="903" t="s">
        <v>700</v>
      </c>
      <c r="E255" s="904"/>
      <c r="F255" s="905"/>
      <c r="G255" s="532">
        <v>1</v>
      </c>
      <c r="H255" s="532" t="s">
        <v>241</v>
      </c>
      <c r="I255" s="95">
        <v>220000</v>
      </c>
      <c r="J255" s="97">
        <f>G255*I255</f>
        <v>220000</v>
      </c>
    </row>
    <row r="256" spans="3:10">
      <c r="C256" s="96"/>
      <c r="D256" s="903" t="s">
        <v>703</v>
      </c>
      <c r="E256" s="904"/>
      <c r="F256" s="905"/>
      <c r="G256" s="532">
        <v>420</v>
      </c>
      <c r="H256" s="532" t="s">
        <v>217</v>
      </c>
      <c r="I256" s="95">
        <v>800</v>
      </c>
      <c r="J256" s="97">
        <f t="shared" ref="J256:J258" si="27">G256*I256</f>
        <v>336000</v>
      </c>
    </row>
    <row r="257" spans="3:10">
      <c r="C257" s="96"/>
      <c r="D257" s="903" t="s">
        <v>831</v>
      </c>
      <c r="E257" s="947"/>
      <c r="F257" s="948"/>
      <c r="G257" s="532">
        <v>115</v>
      </c>
      <c r="H257" s="532" t="s">
        <v>252</v>
      </c>
      <c r="I257" s="95">
        <v>55000</v>
      </c>
      <c r="J257" s="97">
        <f t="shared" si="27"/>
        <v>6325000</v>
      </c>
    </row>
    <row r="258" spans="3:10">
      <c r="C258" s="96"/>
      <c r="D258" s="903" t="s">
        <v>775</v>
      </c>
      <c r="E258" s="904"/>
      <c r="F258" s="905"/>
      <c r="G258" s="532">
        <v>6</v>
      </c>
      <c r="H258" s="532" t="s">
        <v>722</v>
      </c>
      <c r="I258" s="95">
        <v>60000</v>
      </c>
      <c r="J258" s="97">
        <f t="shared" si="27"/>
        <v>360000</v>
      </c>
    </row>
    <row r="259" spans="3:10">
      <c r="C259" s="94"/>
      <c r="D259" s="834" t="s">
        <v>701</v>
      </c>
      <c r="E259" s="835"/>
      <c r="F259" s="835"/>
      <c r="G259" s="532">
        <v>5</v>
      </c>
      <c r="H259" s="532" t="s">
        <v>241</v>
      </c>
      <c r="I259" s="97">
        <v>300000</v>
      </c>
      <c r="J259" s="97">
        <f>G259*I259</f>
        <v>1500000</v>
      </c>
    </row>
    <row r="260" spans="3:10">
      <c r="C260" s="94"/>
      <c r="D260" s="834" t="s">
        <v>708</v>
      </c>
      <c r="E260" s="835"/>
      <c r="F260" s="835"/>
      <c r="G260" s="94">
        <v>8</v>
      </c>
      <c r="H260" s="94" t="s">
        <v>102</v>
      </c>
      <c r="I260" s="97">
        <v>280000</v>
      </c>
      <c r="J260" s="97">
        <f t="shared" ref="J260:J262" si="28">G260*I260</f>
        <v>2240000</v>
      </c>
    </row>
    <row r="261" spans="3:10">
      <c r="C261" s="94"/>
      <c r="D261" s="834" t="s">
        <v>758</v>
      </c>
      <c r="E261" s="835"/>
      <c r="F261" s="835"/>
      <c r="G261" s="252">
        <v>48</v>
      </c>
      <c r="H261" s="532" t="s">
        <v>241</v>
      </c>
      <c r="I261" s="97">
        <v>75000</v>
      </c>
      <c r="J261" s="97">
        <f t="shared" si="28"/>
        <v>3600000</v>
      </c>
    </row>
    <row r="262" spans="3:10">
      <c r="C262" s="94"/>
      <c r="D262" s="834" t="s">
        <v>776</v>
      </c>
      <c r="E262" s="835"/>
      <c r="F262" s="835"/>
      <c r="G262" s="532">
        <v>1</v>
      </c>
      <c r="H262" s="532" t="s">
        <v>250</v>
      </c>
      <c r="I262" s="97">
        <v>16100</v>
      </c>
      <c r="J262" s="97">
        <f t="shared" si="28"/>
        <v>16100</v>
      </c>
    </row>
    <row r="263" spans="3:10">
      <c r="C263" s="101"/>
      <c r="D263" s="811" t="s">
        <v>221</v>
      </c>
      <c r="E263" s="811"/>
      <c r="F263" s="811"/>
      <c r="G263" s="812"/>
      <c r="H263" s="812"/>
      <c r="I263" s="102"/>
      <c r="J263" s="109">
        <f>J238</f>
        <v>21428300</v>
      </c>
    </row>
    <row r="264" spans="3:10" ht="39.75" customHeight="1">
      <c r="C264" s="200" t="s">
        <v>471</v>
      </c>
      <c r="D264" s="820" t="s">
        <v>835</v>
      </c>
      <c r="E264" s="820"/>
      <c r="F264" s="820"/>
      <c r="G264" s="821" t="s">
        <v>834</v>
      </c>
      <c r="H264" s="821"/>
      <c r="I264" s="87"/>
      <c r="J264" s="264">
        <f>J265+J280</f>
        <v>8990780</v>
      </c>
    </row>
    <row r="265" spans="3:10">
      <c r="C265" s="88">
        <v>2</v>
      </c>
      <c r="D265" s="820" t="s">
        <v>34</v>
      </c>
      <c r="E265" s="820"/>
      <c r="F265" s="820"/>
      <c r="G265" s="532" t="s">
        <v>630</v>
      </c>
      <c r="H265" s="532" t="s">
        <v>631</v>
      </c>
      <c r="I265" s="533" t="s">
        <v>825</v>
      </c>
      <c r="J265" s="99">
        <f>SUM(J266:J279)</f>
        <v>3223680</v>
      </c>
    </row>
    <row r="266" spans="3:10">
      <c r="C266" s="91"/>
      <c r="D266" s="822" t="s">
        <v>214</v>
      </c>
      <c r="E266" s="822"/>
      <c r="F266" s="822"/>
      <c r="G266" s="532">
        <v>1</v>
      </c>
      <c r="H266" s="532" t="s">
        <v>233</v>
      </c>
      <c r="I266" s="92">
        <v>250000</v>
      </c>
      <c r="J266" s="92">
        <f>G266*I266</f>
        <v>250000</v>
      </c>
    </row>
    <row r="267" spans="3:10">
      <c r="C267" s="91"/>
      <c r="D267" s="823" t="s">
        <v>41</v>
      </c>
      <c r="E267" s="823"/>
      <c r="F267" s="823"/>
      <c r="G267" s="937">
        <v>618000</v>
      </c>
      <c r="H267" s="937"/>
      <c r="I267" s="92"/>
      <c r="J267" s="92"/>
    </row>
    <row r="268" spans="3:10">
      <c r="C268" s="91"/>
      <c r="D268" s="835" t="s">
        <v>207</v>
      </c>
      <c r="E268" s="835"/>
      <c r="F268" s="835"/>
      <c r="G268" s="532">
        <v>1</v>
      </c>
      <c r="H268" s="532" t="s">
        <v>64</v>
      </c>
      <c r="I268" s="92">
        <f>G267*25%</f>
        <v>154500</v>
      </c>
      <c r="J268" s="92">
        <f>SUM(G268*I268)</f>
        <v>154500</v>
      </c>
    </row>
    <row r="269" spans="3:10">
      <c r="C269" s="91"/>
      <c r="D269" s="835" t="s">
        <v>695</v>
      </c>
      <c r="E269" s="835"/>
      <c r="F269" s="835"/>
      <c r="G269" s="532">
        <v>1</v>
      </c>
      <c r="H269" s="532" t="s">
        <v>64</v>
      </c>
      <c r="I269" s="92">
        <f>G267*15%</f>
        <v>92700</v>
      </c>
      <c r="J269" s="92">
        <f>SUM(G269*I269)</f>
        <v>92700</v>
      </c>
    </row>
    <row r="270" spans="3:10">
      <c r="C270" s="91"/>
      <c r="D270" s="835" t="s">
        <v>70</v>
      </c>
      <c r="E270" s="835"/>
      <c r="F270" s="835"/>
      <c r="G270" s="532">
        <v>6</v>
      </c>
      <c r="H270" s="532" t="s">
        <v>64</v>
      </c>
      <c r="I270" s="92">
        <f>G267*60%/6</f>
        <v>61800</v>
      </c>
      <c r="J270" s="92">
        <f>SUM(G270*I270)</f>
        <v>370800</v>
      </c>
    </row>
    <row r="271" spans="3:10">
      <c r="C271" s="91"/>
      <c r="D271" s="836" t="s">
        <v>215</v>
      </c>
      <c r="E271" s="836"/>
      <c r="F271" s="836"/>
      <c r="G271" s="532">
        <v>1</v>
      </c>
      <c r="H271" s="532" t="s">
        <v>217</v>
      </c>
      <c r="I271" s="92">
        <v>150000</v>
      </c>
      <c r="J271" s="92">
        <f t="shared" ref="J271:J279" si="29">SUM(G271*I271)</f>
        <v>150000</v>
      </c>
    </row>
    <row r="272" spans="3:10">
      <c r="C272" s="91"/>
      <c r="D272" s="836" t="s">
        <v>216</v>
      </c>
      <c r="E272" s="836"/>
      <c r="F272" s="836"/>
      <c r="G272" s="532">
        <v>1</v>
      </c>
      <c r="H272" s="532" t="s">
        <v>217</v>
      </c>
      <c r="I272" s="92">
        <v>50000</v>
      </c>
      <c r="J272" s="92">
        <f t="shared" si="29"/>
        <v>50000</v>
      </c>
    </row>
    <row r="273" spans="3:10">
      <c r="C273" s="91"/>
      <c r="D273" s="837" t="s">
        <v>628</v>
      </c>
      <c r="E273" s="838"/>
      <c r="F273" s="839"/>
      <c r="G273" s="532">
        <v>17</v>
      </c>
      <c r="H273" s="532" t="s">
        <v>644</v>
      </c>
      <c r="I273" s="92">
        <v>60000</v>
      </c>
      <c r="J273" s="92">
        <f t="shared" si="29"/>
        <v>1020000</v>
      </c>
    </row>
    <row r="274" spans="3:10">
      <c r="C274" s="94"/>
      <c r="D274" s="836" t="s">
        <v>642</v>
      </c>
      <c r="E274" s="836"/>
      <c r="F274" s="836"/>
      <c r="G274" s="532">
        <v>10</v>
      </c>
      <c r="H274" s="532" t="s">
        <v>644</v>
      </c>
      <c r="I274" s="95">
        <v>70000</v>
      </c>
      <c r="J274" s="92">
        <f t="shared" si="29"/>
        <v>700000</v>
      </c>
    </row>
    <row r="275" spans="3:10">
      <c r="C275" s="94"/>
      <c r="D275" s="837" t="s">
        <v>832</v>
      </c>
      <c r="E275" s="838"/>
      <c r="F275" s="839"/>
      <c r="G275" s="252">
        <v>0.878</v>
      </c>
      <c r="H275" s="532" t="s">
        <v>644</v>
      </c>
      <c r="I275" s="95">
        <v>60000</v>
      </c>
      <c r="J275" s="89">
        <f t="shared" si="29"/>
        <v>52680</v>
      </c>
    </row>
    <row r="276" spans="3:10">
      <c r="C276" s="94"/>
      <c r="D276" s="837" t="s">
        <v>715</v>
      </c>
      <c r="E276" s="838"/>
      <c r="F276" s="839"/>
      <c r="G276" s="532">
        <v>5</v>
      </c>
      <c r="H276" s="532" t="s">
        <v>699</v>
      </c>
      <c r="I276" s="95">
        <v>27600</v>
      </c>
      <c r="J276" s="89">
        <f t="shared" si="29"/>
        <v>138000</v>
      </c>
    </row>
    <row r="277" spans="3:10">
      <c r="C277" s="94"/>
      <c r="D277" s="837" t="s">
        <v>720</v>
      </c>
      <c r="E277" s="838"/>
      <c r="F277" s="839"/>
      <c r="G277" s="532">
        <v>1</v>
      </c>
      <c r="H277" s="532" t="s">
        <v>217</v>
      </c>
      <c r="I277" s="95">
        <v>75000</v>
      </c>
      <c r="J277" s="89">
        <f t="shared" si="29"/>
        <v>75000</v>
      </c>
    </row>
    <row r="278" spans="3:10">
      <c r="C278" s="94"/>
      <c r="D278" s="837" t="s">
        <v>750</v>
      </c>
      <c r="E278" s="838"/>
      <c r="F278" s="839"/>
      <c r="G278" s="532">
        <v>1</v>
      </c>
      <c r="H278" s="532" t="s">
        <v>102</v>
      </c>
      <c r="I278" s="95">
        <v>25000</v>
      </c>
      <c r="J278" s="89">
        <f t="shared" si="29"/>
        <v>25000</v>
      </c>
    </row>
    <row r="279" spans="3:10">
      <c r="C279" s="94"/>
      <c r="D279" s="837" t="s">
        <v>719</v>
      </c>
      <c r="E279" s="838"/>
      <c r="F279" s="839"/>
      <c r="G279" s="532">
        <v>10</v>
      </c>
      <c r="H279" s="532" t="s">
        <v>217</v>
      </c>
      <c r="I279" s="95">
        <v>14500</v>
      </c>
      <c r="J279" s="89">
        <f t="shared" si="29"/>
        <v>145000</v>
      </c>
    </row>
    <row r="280" spans="3:10">
      <c r="C280" s="96">
        <v>3</v>
      </c>
      <c r="D280" s="813" t="s">
        <v>32</v>
      </c>
      <c r="E280" s="813"/>
      <c r="F280" s="813"/>
      <c r="G280" s="519"/>
      <c r="H280" s="519"/>
      <c r="I280" s="97"/>
      <c r="J280" s="98">
        <f>SUM(J281:J288)</f>
        <v>5767100</v>
      </c>
    </row>
    <row r="281" spans="3:10">
      <c r="C281" s="96"/>
      <c r="D281" s="903" t="s">
        <v>700</v>
      </c>
      <c r="E281" s="904"/>
      <c r="F281" s="905"/>
      <c r="G281" s="532">
        <v>1</v>
      </c>
      <c r="H281" s="532" t="s">
        <v>241</v>
      </c>
      <c r="I281" s="95">
        <v>220000</v>
      </c>
      <c r="J281" s="97">
        <f>G281*I281</f>
        <v>220000</v>
      </c>
    </row>
    <row r="282" spans="3:10">
      <c r="C282" s="96"/>
      <c r="D282" s="903" t="s">
        <v>703</v>
      </c>
      <c r="E282" s="904"/>
      <c r="F282" s="905"/>
      <c r="G282" s="532">
        <v>70</v>
      </c>
      <c r="H282" s="532" t="s">
        <v>217</v>
      </c>
      <c r="I282" s="95">
        <v>800</v>
      </c>
      <c r="J282" s="97">
        <f t="shared" ref="J282:J284" si="30">G282*I282</f>
        <v>56000</v>
      </c>
    </row>
    <row r="283" spans="3:10">
      <c r="C283" s="96"/>
      <c r="D283" s="903" t="s">
        <v>831</v>
      </c>
      <c r="E283" s="947"/>
      <c r="F283" s="948"/>
      <c r="G283" s="532">
        <v>13</v>
      </c>
      <c r="H283" s="532" t="s">
        <v>252</v>
      </c>
      <c r="I283" s="95">
        <v>55000</v>
      </c>
      <c r="J283" s="97">
        <f t="shared" si="30"/>
        <v>715000</v>
      </c>
    </row>
    <row r="284" spans="3:10">
      <c r="C284" s="96"/>
      <c r="D284" s="903" t="s">
        <v>775</v>
      </c>
      <c r="E284" s="904"/>
      <c r="F284" s="905"/>
      <c r="G284" s="532">
        <v>1</v>
      </c>
      <c r="H284" s="532" t="s">
        <v>722</v>
      </c>
      <c r="I284" s="95">
        <v>60000</v>
      </c>
      <c r="J284" s="97">
        <f t="shared" si="30"/>
        <v>60000</v>
      </c>
    </row>
    <row r="285" spans="3:10">
      <c r="C285" s="94"/>
      <c r="D285" s="834" t="s">
        <v>701</v>
      </c>
      <c r="E285" s="835"/>
      <c r="F285" s="835"/>
      <c r="G285" s="532">
        <v>3</v>
      </c>
      <c r="H285" s="532" t="s">
        <v>241</v>
      </c>
      <c r="I285" s="97">
        <v>300000</v>
      </c>
      <c r="J285" s="97">
        <f>G285*I285</f>
        <v>900000</v>
      </c>
    </row>
    <row r="286" spans="3:10">
      <c r="C286" s="94"/>
      <c r="D286" s="834" t="s">
        <v>708</v>
      </c>
      <c r="E286" s="835"/>
      <c r="F286" s="835"/>
      <c r="G286" s="94">
        <v>5</v>
      </c>
      <c r="H286" s="94" t="s">
        <v>102</v>
      </c>
      <c r="I286" s="97">
        <v>280000</v>
      </c>
      <c r="J286" s="97">
        <f t="shared" ref="J286:J288" si="31">G286*I286</f>
        <v>1400000</v>
      </c>
    </row>
    <row r="287" spans="3:10">
      <c r="C287" s="94"/>
      <c r="D287" s="834" t="s">
        <v>758</v>
      </c>
      <c r="E287" s="835"/>
      <c r="F287" s="835"/>
      <c r="G287" s="252">
        <v>32</v>
      </c>
      <c r="H287" s="532" t="s">
        <v>241</v>
      </c>
      <c r="I287" s="97">
        <v>75000</v>
      </c>
      <c r="J287" s="97">
        <f t="shared" si="31"/>
        <v>2400000</v>
      </c>
    </row>
    <row r="288" spans="3:10">
      <c r="C288" s="94"/>
      <c r="D288" s="834" t="s">
        <v>776</v>
      </c>
      <c r="E288" s="835"/>
      <c r="F288" s="835"/>
      <c r="G288" s="532">
        <v>1</v>
      </c>
      <c r="H288" s="532" t="s">
        <v>250</v>
      </c>
      <c r="I288" s="97">
        <v>16100</v>
      </c>
      <c r="J288" s="97">
        <f t="shared" si="31"/>
        <v>16100</v>
      </c>
    </row>
    <row r="289" spans="3:10">
      <c r="C289" s="101"/>
      <c r="D289" s="811" t="s">
        <v>221</v>
      </c>
      <c r="E289" s="811"/>
      <c r="F289" s="811"/>
      <c r="G289" s="812"/>
      <c r="H289" s="812"/>
      <c r="I289" s="102"/>
      <c r="J289" s="109">
        <f>J264</f>
        <v>8990780</v>
      </c>
    </row>
    <row r="290" spans="3:10" ht="32.25" customHeight="1">
      <c r="C290" s="200" t="s">
        <v>249</v>
      </c>
      <c r="D290" s="820" t="s">
        <v>845</v>
      </c>
      <c r="E290" s="820"/>
      <c r="F290" s="820"/>
      <c r="G290" s="933" t="s">
        <v>846</v>
      </c>
      <c r="H290" s="821"/>
      <c r="I290" s="934"/>
      <c r="J290" s="264">
        <f>SUM(J291+J308)</f>
        <v>27636700</v>
      </c>
    </row>
    <row r="291" spans="3:10">
      <c r="C291" s="88">
        <v>2</v>
      </c>
      <c r="D291" s="820" t="s">
        <v>34</v>
      </c>
      <c r="E291" s="820"/>
      <c r="F291" s="820"/>
      <c r="G291" s="532" t="s">
        <v>630</v>
      </c>
      <c r="H291" s="532" t="s">
        <v>631</v>
      </c>
      <c r="I291" s="533" t="s">
        <v>825</v>
      </c>
      <c r="J291" s="99">
        <f>SUM(J292:J307)</f>
        <v>9272800</v>
      </c>
    </row>
    <row r="292" spans="3:10">
      <c r="C292" s="91"/>
      <c r="D292" s="822" t="s">
        <v>214</v>
      </c>
      <c r="E292" s="822"/>
      <c r="F292" s="822"/>
      <c r="G292" s="532">
        <v>1</v>
      </c>
      <c r="H292" s="532" t="s">
        <v>233</v>
      </c>
      <c r="I292" s="92">
        <v>500000</v>
      </c>
      <c r="J292" s="92">
        <f>G292*I292</f>
        <v>500000</v>
      </c>
    </row>
    <row r="293" spans="3:10">
      <c r="C293" s="91"/>
      <c r="D293" s="823" t="s">
        <v>41</v>
      </c>
      <c r="E293" s="823"/>
      <c r="F293" s="823"/>
      <c r="G293" s="937">
        <v>1900000</v>
      </c>
      <c r="H293" s="937"/>
      <c r="I293" s="92"/>
      <c r="J293" s="92"/>
    </row>
    <row r="294" spans="3:10">
      <c r="C294" s="91"/>
      <c r="D294" s="835" t="s">
        <v>207</v>
      </c>
      <c r="E294" s="835"/>
      <c r="F294" s="835"/>
      <c r="G294" s="532">
        <v>1</v>
      </c>
      <c r="H294" s="532" t="s">
        <v>64</v>
      </c>
      <c r="I294" s="92">
        <f>G293*25%</f>
        <v>475000</v>
      </c>
      <c r="J294" s="92">
        <f>SUM(G294*I294)</f>
        <v>475000</v>
      </c>
    </row>
    <row r="295" spans="3:10">
      <c r="C295" s="91"/>
      <c r="D295" s="835" t="s">
        <v>695</v>
      </c>
      <c r="E295" s="835"/>
      <c r="F295" s="835"/>
      <c r="G295" s="532">
        <v>1</v>
      </c>
      <c r="H295" s="532" t="s">
        <v>64</v>
      </c>
      <c r="I295" s="92">
        <f>G293*15%</f>
        <v>285000</v>
      </c>
      <c r="J295" s="92">
        <f>SUM(G295*I295)</f>
        <v>285000</v>
      </c>
    </row>
    <row r="296" spans="3:10">
      <c r="C296" s="91"/>
      <c r="D296" s="835" t="s">
        <v>70</v>
      </c>
      <c r="E296" s="835"/>
      <c r="F296" s="835"/>
      <c r="G296" s="532">
        <v>6</v>
      </c>
      <c r="H296" s="532" t="s">
        <v>64</v>
      </c>
      <c r="I296" s="92">
        <f>G293*60%/6</f>
        <v>190000</v>
      </c>
      <c r="J296" s="92">
        <f>SUM(G296*I296)</f>
        <v>1140000</v>
      </c>
    </row>
    <row r="297" spans="3:10">
      <c r="C297" s="91"/>
      <c r="D297" s="836" t="s">
        <v>215</v>
      </c>
      <c r="E297" s="836"/>
      <c r="F297" s="836"/>
      <c r="G297" s="532">
        <v>1</v>
      </c>
      <c r="H297" s="532" t="s">
        <v>217</v>
      </c>
      <c r="I297" s="92">
        <v>150000</v>
      </c>
      <c r="J297" s="92">
        <f t="shared" ref="J297:J307" si="32">SUM(G297*I297)</f>
        <v>150000</v>
      </c>
    </row>
    <row r="298" spans="3:10">
      <c r="C298" s="91"/>
      <c r="D298" s="836" t="s">
        <v>216</v>
      </c>
      <c r="E298" s="836"/>
      <c r="F298" s="836"/>
      <c r="G298" s="532">
        <v>1</v>
      </c>
      <c r="H298" s="532" t="s">
        <v>217</v>
      </c>
      <c r="I298" s="92">
        <v>50000</v>
      </c>
      <c r="J298" s="92">
        <f t="shared" si="32"/>
        <v>50000</v>
      </c>
    </row>
    <row r="299" spans="3:10">
      <c r="C299" s="94"/>
      <c r="D299" s="836" t="s">
        <v>628</v>
      </c>
      <c r="E299" s="836"/>
      <c r="F299" s="836"/>
      <c r="G299" s="532">
        <v>27</v>
      </c>
      <c r="H299" s="532" t="s">
        <v>644</v>
      </c>
      <c r="I299" s="95">
        <v>60000</v>
      </c>
      <c r="J299" s="92">
        <f t="shared" si="32"/>
        <v>1620000</v>
      </c>
    </row>
    <row r="300" spans="3:10">
      <c r="C300" s="94"/>
      <c r="D300" s="837" t="s">
        <v>642</v>
      </c>
      <c r="E300" s="838"/>
      <c r="F300" s="839"/>
      <c r="G300" s="532">
        <v>15</v>
      </c>
      <c r="H300" s="532" t="s">
        <v>644</v>
      </c>
      <c r="I300" s="95">
        <v>70000</v>
      </c>
      <c r="J300" s="89">
        <f t="shared" si="32"/>
        <v>1050000</v>
      </c>
    </row>
    <row r="301" spans="3:10">
      <c r="C301" s="94"/>
      <c r="D301" s="837" t="s">
        <v>848</v>
      </c>
      <c r="E301" s="838"/>
      <c r="F301" s="839"/>
      <c r="G301" s="512">
        <v>28</v>
      </c>
      <c r="H301" s="532" t="s">
        <v>241</v>
      </c>
      <c r="I301" s="95">
        <v>60000</v>
      </c>
      <c r="J301" s="89">
        <f t="shared" si="32"/>
        <v>1680000</v>
      </c>
    </row>
    <row r="302" spans="3:10">
      <c r="C302" s="94"/>
      <c r="D302" s="837" t="s">
        <v>820</v>
      </c>
      <c r="E302" s="838"/>
      <c r="F302" s="839"/>
      <c r="G302" s="532">
        <v>6</v>
      </c>
      <c r="H302" s="532" t="s">
        <v>821</v>
      </c>
      <c r="I302" s="95">
        <v>300000</v>
      </c>
      <c r="J302" s="89">
        <f t="shared" si="32"/>
        <v>1800000</v>
      </c>
    </row>
    <row r="303" spans="3:10">
      <c r="C303" s="94"/>
      <c r="D303" s="837" t="s">
        <v>719</v>
      </c>
      <c r="E303" s="838"/>
      <c r="F303" s="839"/>
      <c r="G303" s="532">
        <v>10</v>
      </c>
      <c r="H303" s="532" t="s">
        <v>217</v>
      </c>
      <c r="I303" s="95">
        <v>14500</v>
      </c>
      <c r="J303" s="89">
        <f t="shared" si="32"/>
        <v>145000</v>
      </c>
    </row>
    <row r="304" spans="3:10">
      <c r="C304" s="94"/>
      <c r="D304" s="837" t="s">
        <v>750</v>
      </c>
      <c r="E304" s="838"/>
      <c r="F304" s="839"/>
      <c r="G304" s="532">
        <v>3</v>
      </c>
      <c r="H304" s="532" t="s">
        <v>217</v>
      </c>
      <c r="I304" s="95">
        <v>25000</v>
      </c>
      <c r="J304" s="89">
        <f t="shared" si="32"/>
        <v>75000</v>
      </c>
    </row>
    <row r="305" spans="3:10">
      <c r="C305" s="94"/>
      <c r="D305" s="837" t="s">
        <v>720</v>
      </c>
      <c r="E305" s="838"/>
      <c r="F305" s="839"/>
      <c r="G305" s="532">
        <v>1</v>
      </c>
      <c r="H305" s="532" t="s">
        <v>217</v>
      </c>
      <c r="I305" s="95">
        <v>75000</v>
      </c>
      <c r="J305" s="89">
        <f t="shared" si="32"/>
        <v>75000</v>
      </c>
    </row>
    <row r="306" spans="3:10">
      <c r="C306" s="94"/>
      <c r="D306" s="837" t="s">
        <v>819</v>
      </c>
      <c r="E306" s="838"/>
      <c r="F306" s="839"/>
      <c r="G306" s="532">
        <v>8</v>
      </c>
      <c r="H306" s="532" t="s">
        <v>699</v>
      </c>
      <c r="I306" s="95">
        <v>27600</v>
      </c>
      <c r="J306" s="89">
        <f t="shared" si="32"/>
        <v>220800</v>
      </c>
    </row>
    <row r="307" spans="3:10">
      <c r="C307" s="94"/>
      <c r="D307" s="837" t="s">
        <v>780</v>
      </c>
      <c r="E307" s="838"/>
      <c r="F307" s="839"/>
      <c r="G307" s="532">
        <v>2</v>
      </c>
      <c r="H307" s="532" t="s">
        <v>217</v>
      </c>
      <c r="I307" s="95">
        <v>3500</v>
      </c>
      <c r="J307" s="89">
        <f t="shared" si="32"/>
        <v>7000</v>
      </c>
    </row>
    <row r="308" spans="3:10">
      <c r="C308" s="96">
        <v>3</v>
      </c>
      <c r="D308" s="813" t="s">
        <v>32</v>
      </c>
      <c r="E308" s="813"/>
      <c r="F308" s="813"/>
      <c r="G308" s="519"/>
      <c r="H308" s="519"/>
      <c r="I308" s="97"/>
      <c r="J308" s="98">
        <f>SUM(J309:J315)</f>
        <v>18363900</v>
      </c>
    </row>
    <row r="309" spans="3:10">
      <c r="C309" s="94"/>
      <c r="D309" s="834" t="s">
        <v>831</v>
      </c>
      <c r="E309" s="835"/>
      <c r="F309" s="835"/>
      <c r="G309" s="510">
        <v>170</v>
      </c>
      <c r="H309" s="532" t="s">
        <v>217</v>
      </c>
      <c r="I309" s="97">
        <v>55000</v>
      </c>
      <c r="J309" s="97">
        <f>G309*I309</f>
        <v>9350000</v>
      </c>
    </row>
    <row r="310" spans="3:10">
      <c r="C310" s="94"/>
      <c r="D310" s="902" t="s">
        <v>703</v>
      </c>
      <c r="E310" s="915"/>
      <c r="F310" s="916"/>
      <c r="G310" s="510">
        <v>630</v>
      </c>
      <c r="H310" s="532" t="s">
        <v>217</v>
      </c>
      <c r="I310" s="97">
        <v>800</v>
      </c>
      <c r="J310" s="97">
        <f>G310*I310</f>
        <v>504000</v>
      </c>
    </row>
    <row r="311" spans="3:10">
      <c r="C311" s="94"/>
      <c r="D311" s="834" t="s">
        <v>700</v>
      </c>
      <c r="E311" s="835"/>
      <c r="F311" s="835"/>
      <c r="G311" s="511">
        <v>1</v>
      </c>
      <c r="H311" s="94" t="s">
        <v>102</v>
      </c>
      <c r="I311" s="97">
        <v>220000</v>
      </c>
      <c r="J311" s="97">
        <f t="shared" ref="J311:J315" si="33">G311*I311</f>
        <v>220000</v>
      </c>
    </row>
    <row r="312" spans="3:10">
      <c r="C312" s="94"/>
      <c r="D312" s="834" t="s">
        <v>758</v>
      </c>
      <c r="E312" s="835"/>
      <c r="F312" s="835"/>
      <c r="G312" s="510">
        <v>55</v>
      </c>
      <c r="H312" s="532" t="s">
        <v>241</v>
      </c>
      <c r="I312" s="97">
        <v>75000</v>
      </c>
      <c r="J312" s="97">
        <f t="shared" si="33"/>
        <v>4125000</v>
      </c>
    </row>
    <row r="313" spans="3:10">
      <c r="C313" s="94"/>
      <c r="D313" s="902" t="s">
        <v>823</v>
      </c>
      <c r="E313" s="915"/>
      <c r="F313" s="916"/>
      <c r="G313" s="532">
        <v>5</v>
      </c>
      <c r="H313" s="532" t="s">
        <v>241</v>
      </c>
      <c r="I313" s="97">
        <v>300000</v>
      </c>
      <c r="J313" s="97">
        <f t="shared" si="33"/>
        <v>1500000</v>
      </c>
    </row>
    <row r="314" spans="3:10">
      <c r="C314" s="94"/>
      <c r="D314" s="902" t="s">
        <v>708</v>
      </c>
      <c r="E314" s="915"/>
      <c r="F314" s="916"/>
      <c r="G314" s="532">
        <v>9</v>
      </c>
      <c r="H314" s="532" t="s">
        <v>241</v>
      </c>
      <c r="I314" s="97">
        <v>280000</v>
      </c>
      <c r="J314" s="97">
        <f t="shared" si="33"/>
        <v>2520000</v>
      </c>
    </row>
    <row r="315" spans="3:10">
      <c r="C315" s="94"/>
      <c r="D315" s="902" t="s">
        <v>806</v>
      </c>
      <c r="E315" s="900"/>
      <c r="F315" s="901"/>
      <c r="G315" s="532">
        <v>9</v>
      </c>
      <c r="H315" s="532" t="s">
        <v>250</v>
      </c>
      <c r="I315" s="97">
        <v>16100</v>
      </c>
      <c r="J315" s="97">
        <f t="shared" si="33"/>
        <v>144900</v>
      </c>
    </row>
    <row r="316" spans="3:10">
      <c r="C316" s="101"/>
      <c r="D316" s="811" t="s">
        <v>221</v>
      </c>
      <c r="E316" s="811"/>
      <c r="F316" s="811"/>
      <c r="G316" s="812"/>
      <c r="H316" s="812"/>
      <c r="I316" s="102"/>
      <c r="J316" s="109">
        <f>J290</f>
        <v>27636700</v>
      </c>
    </row>
    <row r="317" spans="3:10" ht="32.25" customHeight="1">
      <c r="C317" s="200" t="s">
        <v>815</v>
      </c>
      <c r="D317" s="820" t="s">
        <v>814</v>
      </c>
      <c r="E317" s="820"/>
      <c r="F317" s="820"/>
      <c r="G317" s="821" t="s">
        <v>816</v>
      </c>
      <c r="H317" s="821"/>
      <c r="I317" s="87"/>
      <c r="J317" s="264">
        <f>SUM(J318+J332)</f>
        <v>43418400</v>
      </c>
    </row>
    <row r="318" spans="3:10">
      <c r="C318" s="88">
        <v>2</v>
      </c>
      <c r="D318" s="820" t="s">
        <v>34</v>
      </c>
      <c r="E318" s="820"/>
      <c r="F318" s="820"/>
      <c r="G318" s="532" t="s">
        <v>630</v>
      </c>
      <c r="H318" s="532" t="s">
        <v>631</v>
      </c>
      <c r="I318" s="533" t="s">
        <v>825</v>
      </c>
      <c r="J318" s="99">
        <f>SUM(J319:J326)</f>
        <v>10809000</v>
      </c>
    </row>
    <row r="319" spans="3:10">
      <c r="C319" s="91"/>
      <c r="D319" s="822" t="s">
        <v>214</v>
      </c>
      <c r="E319" s="822"/>
      <c r="F319" s="822"/>
      <c r="G319" s="532">
        <v>1</v>
      </c>
      <c r="H319" s="532" t="s">
        <v>233</v>
      </c>
      <c r="I319" s="92">
        <v>500000</v>
      </c>
      <c r="J319" s="92">
        <f>G319*I319</f>
        <v>500000</v>
      </c>
    </row>
    <row r="320" spans="3:10">
      <c r="C320" s="91"/>
      <c r="D320" s="823" t="s">
        <v>41</v>
      </c>
      <c r="E320" s="823"/>
      <c r="F320" s="823"/>
      <c r="G320" s="937">
        <v>3029000</v>
      </c>
      <c r="H320" s="937"/>
      <c r="I320" s="92"/>
      <c r="J320" s="92"/>
    </row>
    <row r="321" spans="3:10">
      <c r="C321" s="91"/>
      <c r="D321" s="835" t="s">
        <v>207</v>
      </c>
      <c r="E321" s="835"/>
      <c r="F321" s="835"/>
      <c r="G321" s="532">
        <v>1</v>
      </c>
      <c r="H321" s="532" t="s">
        <v>64</v>
      </c>
      <c r="I321" s="92">
        <f>G320*25%</f>
        <v>757250</v>
      </c>
      <c r="J321" s="92">
        <f>SUM(G321*I321)</f>
        <v>757250</v>
      </c>
    </row>
    <row r="322" spans="3:10">
      <c r="C322" s="91"/>
      <c r="D322" s="835" t="s">
        <v>695</v>
      </c>
      <c r="E322" s="835"/>
      <c r="F322" s="835"/>
      <c r="G322" s="532">
        <v>1</v>
      </c>
      <c r="H322" s="532" t="s">
        <v>64</v>
      </c>
      <c r="I322" s="92">
        <f>G320*15%</f>
        <v>454350</v>
      </c>
      <c r="J322" s="92">
        <f>SUM(G322*I322)</f>
        <v>454350</v>
      </c>
    </row>
    <row r="323" spans="3:10">
      <c r="C323" s="91"/>
      <c r="D323" s="835" t="s">
        <v>70</v>
      </c>
      <c r="E323" s="835"/>
      <c r="F323" s="835"/>
      <c r="G323" s="532">
        <v>6</v>
      </c>
      <c r="H323" s="532" t="s">
        <v>64</v>
      </c>
      <c r="I323" s="92">
        <f>G320*60%/6</f>
        <v>302900</v>
      </c>
      <c r="J323" s="92">
        <f>SUM(G323*I323)</f>
        <v>1817400</v>
      </c>
    </row>
    <row r="324" spans="3:10">
      <c r="C324" s="91"/>
      <c r="D324" s="836" t="s">
        <v>215</v>
      </c>
      <c r="E324" s="836"/>
      <c r="F324" s="836"/>
      <c r="G324" s="532">
        <v>1</v>
      </c>
      <c r="H324" s="532" t="s">
        <v>217</v>
      </c>
      <c r="I324" s="92">
        <v>150000</v>
      </c>
      <c r="J324" s="92">
        <f t="shared" ref="J324:J331" si="34">SUM(G324*I324)</f>
        <v>150000</v>
      </c>
    </row>
    <row r="325" spans="3:10">
      <c r="C325" s="91"/>
      <c r="D325" s="836" t="s">
        <v>216</v>
      </c>
      <c r="E325" s="836"/>
      <c r="F325" s="836"/>
      <c r="G325" s="532">
        <v>1</v>
      </c>
      <c r="H325" s="532" t="s">
        <v>217</v>
      </c>
      <c r="I325" s="92">
        <v>50000</v>
      </c>
      <c r="J325" s="92">
        <f t="shared" si="34"/>
        <v>50000</v>
      </c>
    </row>
    <row r="326" spans="3:10">
      <c r="C326" s="94"/>
      <c r="D326" s="836" t="s">
        <v>628</v>
      </c>
      <c r="E326" s="836"/>
      <c r="F326" s="836"/>
      <c r="G326" s="532">
        <v>118</v>
      </c>
      <c r="H326" s="532" t="s">
        <v>644</v>
      </c>
      <c r="I326" s="95">
        <v>60000</v>
      </c>
      <c r="J326" s="92">
        <f t="shared" si="34"/>
        <v>7080000</v>
      </c>
    </row>
    <row r="327" spans="3:10">
      <c r="C327" s="94"/>
      <c r="D327" s="837" t="s">
        <v>642</v>
      </c>
      <c r="E327" s="838"/>
      <c r="F327" s="839"/>
      <c r="G327" s="532">
        <v>69</v>
      </c>
      <c r="H327" s="532" t="s">
        <v>644</v>
      </c>
      <c r="I327" s="95">
        <v>70000</v>
      </c>
      <c r="J327" s="89">
        <f t="shared" si="34"/>
        <v>4830000</v>
      </c>
    </row>
    <row r="328" spans="3:10">
      <c r="C328" s="94"/>
      <c r="D328" s="837" t="s">
        <v>818</v>
      </c>
      <c r="E328" s="838"/>
      <c r="F328" s="839"/>
      <c r="G328" s="532">
        <v>10.4</v>
      </c>
      <c r="H328" s="532" t="s">
        <v>241</v>
      </c>
      <c r="I328" s="95">
        <v>60000</v>
      </c>
      <c r="J328" s="89">
        <f t="shared" si="34"/>
        <v>624000</v>
      </c>
    </row>
    <row r="329" spans="3:10">
      <c r="C329" s="94"/>
      <c r="D329" s="837" t="s">
        <v>820</v>
      </c>
      <c r="E329" s="838"/>
      <c r="F329" s="839"/>
      <c r="G329" s="532">
        <v>12</v>
      </c>
      <c r="H329" s="532" t="s">
        <v>821</v>
      </c>
      <c r="I329" s="95">
        <v>400000</v>
      </c>
      <c r="J329" s="89">
        <f t="shared" si="34"/>
        <v>4800000</v>
      </c>
    </row>
    <row r="330" spans="3:10">
      <c r="C330" s="94"/>
      <c r="D330" s="837" t="s">
        <v>819</v>
      </c>
      <c r="E330" s="838"/>
      <c r="F330" s="839"/>
      <c r="G330" s="532">
        <v>10</v>
      </c>
      <c r="H330" s="532" t="s">
        <v>699</v>
      </c>
      <c r="I330" s="95">
        <v>27600</v>
      </c>
      <c r="J330" s="89">
        <f t="shared" si="34"/>
        <v>276000</v>
      </c>
    </row>
    <row r="331" spans="3:10">
      <c r="C331" s="94"/>
      <c r="D331" s="837" t="s">
        <v>780</v>
      </c>
      <c r="E331" s="838"/>
      <c r="F331" s="839"/>
      <c r="G331" s="532">
        <v>5</v>
      </c>
      <c r="H331" s="532" t="s">
        <v>217</v>
      </c>
      <c r="I331" s="95">
        <v>3500</v>
      </c>
      <c r="J331" s="89">
        <f t="shared" si="34"/>
        <v>17500</v>
      </c>
    </row>
    <row r="332" spans="3:10">
      <c r="C332" s="96">
        <v>3</v>
      </c>
      <c r="D332" s="813" t="s">
        <v>32</v>
      </c>
      <c r="E332" s="813"/>
      <c r="F332" s="813"/>
      <c r="G332" s="519"/>
      <c r="H332" s="519"/>
      <c r="I332" s="97"/>
      <c r="J332" s="98">
        <f>SUM(J333:J339)</f>
        <v>32609400</v>
      </c>
    </row>
    <row r="333" spans="3:10">
      <c r="C333" s="94"/>
      <c r="D333" s="834" t="s">
        <v>702</v>
      </c>
      <c r="E333" s="835"/>
      <c r="F333" s="835"/>
      <c r="G333" s="532">
        <v>37</v>
      </c>
      <c r="H333" s="532" t="s">
        <v>241</v>
      </c>
      <c r="I333" s="97">
        <v>220000</v>
      </c>
      <c r="J333" s="97">
        <f>G333*I333</f>
        <v>8140000</v>
      </c>
    </row>
    <row r="334" spans="3:10">
      <c r="C334" s="94"/>
      <c r="D334" s="834" t="s">
        <v>700</v>
      </c>
      <c r="E334" s="835"/>
      <c r="F334" s="835"/>
      <c r="G334" s="94">
        <v>20</v>
      </c>
      <c r="H334" s="94" t="s">
        <v>102</v>
      </c>
      <c r="I334" s="97">
        <v>220000</v>
      </c>
      <c r="J334" s="97">
        <f t="shared" ref="J334:J339" si="35">G334*I334</f>
        <v>4400000</v>
      </c>
    </row>
    <row r="335" spans="3:10">
      <c r="C335" s="94"/>
      <c r="D335" s="834" t="s">
        <v>758</v>
      </c>
      <c r="E335" s="835"/>
      <c r="F335" s="835"/>
      <c r="G335" s="532">
        <v>174</v>
      </c>
      <c r="H335" s="532" t="s">
        <v>241</v>
      </c>
      <c r="I335" s="97">
        <v>75000</v>
      </c>
      <c r="J335" s="97">
        <f t="shared" si="35"/>
        <v>13050000</v>
      </c>
    </row>
    <row r="336" spans="3:10">
      <c r="C336" s="94"/>
      <c r="D336" s="902" t="s">
        <v>823</v>
      </c>
      <c r="E336" s="915"/>
      <c r="F336" s="916"/>
      <c r="G336" s="532">
        <v>7</v>
      </c>
      <c r="H336" s="532" t="s">
        <v>241</v>
      </c>
      <c r="I336" s="97">
        <v>300000</v>
      </c>
      <c r="J336" s="97">
        <f t="shared" si="35"/>
        <v>2100000</v>
      </c>
    </row>
    <row r="337" spans="3:10">
      <c r="C337" s="94"/>
      <c r="D337" s="902" t="s">
        <v>708</v>
      </c>
      <c r="E337" s="915"/>
      <c r="F337" s="916"/>
      <c r="G337" s="532">
        <v>12</v>
      </c>
      <c r="H337" s="532" t="s">
        <v>241</v>
      </c>
      <c r="I337" s="97">
        <v>280000</v>
      </c>
      <c r="J337" s="97">
        <f t="shared" si="35"/>
        <v>3360000</v>
      </c>
    </row>
    <row r="338" spans="3:10">
      <c r="C338" s="94"/>
      <c r="D338" s="902" t="s">
        <v>822</v>
      </c>
      <c r="E338" s="900"/>
      <c r="F338" s="901"/>
      <c r="G338" s="532">
        <v>13</v>
      </c>
      <c r="H338" s="532" t="s">
        <v>102</v>
      </c>
      <c r="I338" s="97">
        <v>115000</v>
      </c>
      <c r="J338" s="97">
        <f t="shared" si="35"/>
        <v>1495000</v>
      </c>
    </row>
    <row r="339" spans="3:10">
      <c r="C339" s="94"/>
      <c r="D339" s="902" t="s">
        <v>806</v>
      </c>
      <c r="E339" s="900"/>
      <c r="F339" s="901"/>
      <c r="G339" s="532">
        <v>4</v>
      </c>
      <c r="H339" s="532" t="s">
        <v>250</v>
      </c>
      <c r="I339" s="97">
        <v>16100</v>
      </c>
      <c r="J339" s="97">
        <f t="shared" si="35"/>
        <v>64400</v>
      </c>
    </row>
    <row r="340" spans="3:10">
      <c r="C340" s="101"/>
      <c r="D340" s="811" t="s">
        <v>221</v>
      </c>
      <c r="E340" s="811"/>
      <c r="F340" s="811"/>
      <c r="G340" s="812"/>
      <c r="H340" s="812"/>
      <c r="I340" s="102"/>
      <c r="J340" s="109">
        <f>J317</f>
        <v>43418400</v>
      </c>
    </row>
    <row r="341" spans="3:10" ht="30" customHeight="1">
      <c r="C341" s="200" t="s">
        <v>864</v>
      </c>
      <c r="D341" s="939" t="s">
        <v>901</v>
      </c>
      <c r="E341" s="940"/>
      <c r="F341" s="941"/>
      <c r="G341" s="933" t="s">
        <v>899</v>
      </c>
      <c r="H341" s="821"/>
      <c r="I341" s="87"/>
      <c r="J341" s="264">
        <f>SUM(J342+J355)</f>
        <v>11808400</v>
      </c>
    </row>
    <row r="342" spans="3:10">
      <c r="C342" s="88">
        <v>2</v>
      </c>
      <c r="D342" s="939" t="s">
        <v>34</v>
      </c>
      <c r="E342" s="940"/>
      <c r="F342" s="941"/>
      <c r="G342" s="532" t="s">
        <v>630</v>
      </c>
      <c r="H342" s="532" t="s">
        <v>631</v>
      </c>
      <c r="I342" s="533" t="s">
        <v>825</v>
      </c>
      <c r="J342" s="99">
        <f>SUM(J343:J350)</f>
        <v>2663000</v>
      </c>
    </row>
    <row r="343" spans="3:10">
      <c r="C343" s="91"/>
      <c r="D343" s="922" t="s">
        <v>214</v>
      </c>
      <c r="E343" s="923"/>
      <c r="F343" s="924"/>
      <c r="G343" s="532">
        <v>1</v>
      </c>
      <c r="H343" s="532" t="s">
        <v>233</v>
      </c>
      <c r="I343" s="92">
        <v>500000</v>
      </c>
      <c r="J343" s="92">
        <f>G343*I343</f>
        <v>500000</v>
      </c>
    </row>
    <row r="344" spans="3:10">
      <c r="C344" s="91"/>
      <c r="D344" s="823" t="s">
        <v>41</v>
      </c>
      <c r="E344" s="823"/>
      <c r="F344" s="823"/>
      <c r="G344" s="937">
        <v>823000</v>
      </c>
      <c r="H344" s="937"/>
      <c r="I344" s="92"/>
      <c r="J344" s="92"/>
    </row>
    <row r="345" spans="3:10">
      <c r="C345" s="91"/>
      <c r="D345" s="835" t="s">
        <v>207</v>
      </c>
      <c r="E345" s="835"/>
      <c r="F345" s="835"/>
      <c r="G345" s="532">
        <v>1</v>
      </c>
      <c r="H345" s="532" t="s">
        <v>64</v>
      </c>
      <c r="I345" s="92">
        <f>G344*25%</f>
        <v>205750</v>
      </c>
      <c r="J345" s="92">
        <f>SUM(G345*I345)</f>
        <v>205750</v>
      </c>
    </row>
    <row r="346" spans="3:10">
      <c r="C346" s="91"/>
      <c r="D346" s="835" t="s">
        <v>695</v>
      </c>
      <c r="E346" s="835"/>
      <c r="F346" s="835"/>
      <c r="G346" s="532">
        <v>1</v>
      </c>
      <c r="H346" s="532" t="s">
        <v>64</v>
      </c>
      <c r="I346" s="92">
        <f>G344*15%</f>
        <v>123450</v>
      </c>
      <c r="J346" s="92">
        <f>SUM(G346*I346)</f>
        <v>123450</v>
      </c>
    </row>
    <row r="347" spans="3:10">
      <c r="C347" s="91"/>
      <c r="D347" s="835" t="s">
        <v>70</v>
      </c>
      <c r="E347" s="835"/>
      <c r="F347" s="835"/>
      <c r="G347" s="532">
        <v>6</v>
      </c>
      <c r="H347" s="532" t="s">
        <v>64</v>
      </c>
      <c r="I347" s="92">
        <f>G344*60%/6</f>
        <v>82300</v>
      </c>
      <c r="J347" s="92">
        <f>SUM(G347*I347)</f>
        <v>493800</v>
      </c>
    </row>
    <row r="348" spans="3:10">
      <c r="C348" s="91"/>
      <c r="D348" s="836" t="s">
        <v>215</v>
      </c>
      <c r="E348" s="836"/>
      <c r="F348" s="836"/>
      <c r="G348" s="532">
        <v>1</v>
      </c>
      <c r="H348" s="532" t="s">
        <v>217</v>
      </c>
      <c r="I348" s="92">
        <v>150000</v>
      </c>
      <c r="J348" s="92">
        <f t="shared" ref="J348:J354" si="36">SUM(G348*I348)</f>
        <v>150000</v>
      </c>
    </row>
    <row r="349" spans="3:10">
      <c r="C349" s="91"/>
      <c r="D349" s="836" t="s">
        <v>216</v>
      </c>
      <c r="E349" s="836"/>
      <c r="F349" s="836"/>
      <c r="G349" s="532">
        <v>1</v>
      </c>
      <c r="H349" s="532" t="s">
        <v>217</v>
      </c>
      <c r="I349" s="92">
        <v>50000</v>
      </c>
      <c r="J349" s="92">
        <f t="shared" si="36"/>
        <v>50000</v>
      </c>
    </row>
    <row r="350" spans="3:10">
      <c r="C350" s="94"/>
      <c r="D350" s="836" t="s">
        <v>628</v>
      </c>
      <c r="E350" s="836"/>
      <c r="F350" s="836"/>
      <c r="G350" s="532">
        <v>19</v>
      </c>
      <c r="H350" s="532" t="s">
        <v>644</v>
      </c>
      <c r="I350" s="95">
        <v>60000</v>
      </c>
      <c r="J350" s="92">
        <f t="shared" si="36"/>
        <v>1140000</v>
      </c>
    </row>
    <row r="351" spans="3:10">
      <c r="C351" s="94"/>
      <c r="D351" s="837" t="s">
        <v>642</v>
      </c>
      <c r="E351" s="838"/>
      <c r="F351" s="839"/>
      <c r="G351" s="532">
        <v>11</v>
      </c>
      <c r="H351" s="532" t="s">
        <v>644</v>
      </c>
      <c r="I351" s="95">
        <v>70000</v>
      </c>
      <c r="J351" s="89">
        <f t="shared" si="36"/>
        <v>770000</v>
      </c>
    </row>
    <row r="352" spans="3:10">
      <c r="C352" s="94"/>
      <c r="D352" s="837" t="s">
        <v>900</v>
      </c>
      <c r="E352" s="838"/>
      <c r="F352" s="839"/>
      <c r="G352" s="532">
        <v>11</v>
      </c>
      <c r="H352" s="532" t="s">
        <v>644</v>
      </c>
      <c r="I352" s="95">
        <v>60000</v>
      </c>
      <c r="J352" s="89">
        <f t="shared" si="36"/>
        <v>660000</v>
      </c>
    </row>
    <row r="353" spans="3:10">
      <c r="C353" s="94"/>
      <c r="D353" s="837" t="s">
        <v>780</v>
      </c>
      <c r="E353" s="838"/>
      <c r="F353" s="839"/>
      <c r="G353" s="532">
        <v>2</v>
      </c>
      <c r="H353" s="532" t="s">
        <v>217</v>
      </c>
      <c r="I353" s="95">
        <v>3500</v>
      </c>
      <c r="J353" s="89">
        <f t="shared" si="36"/>
        <v>7000</v>
      </c>
    </row>
    <row r="354" spans="3:10">
      <c r="C354" s="94"/>
      <c r="D354" s="837" t="s">
        <v>715</v>
      </c>
      <c r="E354" s="838"/>
      <c r="F354" s="839"/>
      <c r="G354" s="532">
        <v>10</v>
      </c>
      <c r="H354" s="532" t="s">
        <v>699</v>
      </c>
      <c r="I354" s="95">
        <v>27600</v>
      </c>
      <c r="J354" s="89">
        <f t="shared" si="36"/>
        <v>276000</v>
      </c>
    </row>
    <row r="355" spans="3:10">
      <c r="C355" s="96">
        <v>3</v>
      </c>
      <c r="D355" s="813" t="s">
        <v>32</v>
      </c>
      <c r="E355" s="813"/>
      <c r="F355" s="813"/>
      <c r="G355" s="519"/>
      <c r="H355" s="519"/>
      <c r="I355" s="97"/>
      <c r="J355" s="98">
        <f>SUM(J356:J362)</f>
        <v>9145400</v>
      </c>
    </row>
    <row r="356" spans="3:10">
      <c r="C356" s="94"/>
      <c r="D356" s="834" t="s">
        <v>702</v>
      </c>
      <c r="E356" s="835"/>
      <c r="F356" s="835"/>
      <c r="G356" s="532">
        <v>4</v>
      </c>
      <c r="H356" s="532" t="s">
        <v>241</v>
      </c>
      <c r="I356" s="97">
        <v>800</v>
      </c>
      <c r="J356" s="97">
        <f>G356*I356</f>
        <v>3200</v>
      </c>
    </row>
    <row r="357" spans="3:10">
      <c r="C357" s="94"/>
      <c r="D357" s="834" t="s">
        <v>700</v>
      </c>
      <c r="E357" s="835"/>
      <c r="F357" s="835"/>
      <c r="G357" s="94">
        <v>2</v>
      </c>
      <c r="H357" s="94" t="s">
        <v>102</v>
      </c>
      <c r="I357" s="97">
        <v>220000</v>
      </c>
      <c r="J357" s="97">
        <f t="shared" ref="J357:J362" si="37">G357*I357</f>
        <v>440000</v>
      </c>
    </row>
    <row r="358" spans="3:10">
      <c r="C358" s="94"/>
      <c r="D358" s="834" t="s">
        <v>758</v>
      </c>
      <c r="E358" s="835"/>
      <c r="F358" s="835"/>
      <c r="G358" s="532">
        <v>34</v>
      </c>
      <c r="H358" s="532" t="s">
        <v>241</v>
      </c>
      <c r="I358" s="97">
        <v>75000</v>
      </c>
      <c r="J358" s="97">
        <f t="shared" si="37"/>
        <v>2550000</v>
      </c>
    </row>
    <row r="359" spans="3:10">
      <c r="C359" s="94"/>
      <c r="D359" s="902" t="s">
        <v>902</v>
      </c>
      <c r="E359" s="915"/>
      <c r="F359" s="916"/>
      <c r="G359" s="532">
        <v>50</v>
      </c>
      <c r="H359" s="532" t="s">
        <v>241</v>
      </c>
      <c r="I359" s="97">
        <v>88000</v>
      </c>
      <c r="J359" s="97">
        <f t="shared" si="37"/>
        <v>4400000</v>
      </c>
    </row>
    <row r="360" spans="3:10">
      <c r="C360" s="94"/>
      <c r="D360" s="902" t="s">
        <v>708</v>
      </c>
      <c r="E360" s="915"/>
      <c r="F360" s="916"/>
      <c r="G360" s="532">
        <v>4</v>
      </c>
      <c r="H360" s="532" t="s">
        <v>241</v>
      </c>
      <c r="I360" s="97">
        <v>280000</v>
      </c>
      <c r="J360" s="97">
        <f t="shared" si="37"/>
        <v>1120000</v>
      </c>
    </row>
    <row r="361" spans="3:10">
      <c r="C361" s="94"/>
      <c r="D361" s="902" t="s">
        <v>701</v>
      </c>
      <c r="E361" s="900"/>
      <c r="F361" s="901"/>
      <c r="G361" s="532">
        <v>2</v>
      </c>
      <c r="H361" s="532" t="s">
        <v>102</v>
      </c>
      <c r="I361" s="97">
        <v>300000</v>
      </c>
      <c r="J361" s="97">
        <f t="shared" si="37"/>
        <v>600000</v>
      </c>
    </row>
    <row r="362" spans="3:10">
      <c r="C362" s="94"/>
      <c r="D362" s="902" t="s">
        <v>806</v>
      </c>
      <c r="E362" s="900"/>
      <c r="F362" s="901"/>
      <c r="G362" s="532">
        <v>2</v>
      </c>
      <c r="H362" s="532" t="s">
        <v>250</v>
      </c>
      <c r="I362" s="97">
        <v>16100</v>
      </c>
      <c r="J362" s="97">
        <f t="shared" si="37"/>
        <v>32200</v>
      </c>
    </row>
    <row r="363" spans="3:10">
      <c r="C363" s="101"/>
      <c r="D363" s="811" t="s">
        <v>221</v>
      </c>
      <c r="E363" s="811"/>
      <c r="F363" s="811"/>
      <c r="G363" s="812"/>
      <c r="H363" s="812"/>
      <c r="I363" s="102"/>
      <c r="J363" s="109">
        <f>J341</f>
        <v>11808400</v>
      </c>
    </row>
    <row r="364" spans="3:10" ht="30.75" customHeight="1">
      <c r="C364" s="200" t="s">
        <v>890</v>
      </c>
      <c r="D364" s="939" t="s">
        <v>891</v>
      </c>
      <c r="E364" s="940"/>
      <c r="F364" s="941"/>
      <c r="G364" s="933" t="s">
        <v>816</v>
      </c>
      <c r="H364" s="821"/>
      <c r="I364" s="87"/>
      <c r="J364" s="264">
        <f>SUM(J365+J378)</f>
        <v>12624200</v>
      </c>
    </row>
    <row r="365" spans="3:10">
      <c r="C365" s="88">
        <v>2</v>
      </c>
      <c r="D365" s="939" t="s">
        <v>34</v>
      </c>
      <c r="E365" s="940"/>
      <c r="F365" s="941"/>
      <c r="G365" s="532" t="s">
        <v>630</v>
      </c>
      <c r="H365" s="532" t="s">
        <v>631</v>
      </c>
      <c r="I365" s="533" t="s">
        <v>825</v>
      </c>
      <c r="J365" s="99">
        <f>SUM(J366:J373)</f>
        <v>3683000</v>
      </c>
    </row>
    <row r="366" spans="3:10">
      <c r="C366" s="91"/>
      <c r="D366" s="922" t="s">
        <v>214</v>
      </c>
      <c r="E366" s="923"/>
      <c r="F366" s="924"/>
      <c r="G366" s="532">
        <v>1</v>
      </c>
      <c r="H366" s="532" t="s">
        <v>233</v>
      </c>
      <c r="I366" s="92">
        <v>500000</v>
      </c>
      <c r="J366" s="92">
        <f>G366*I366</f>
        <v>500000</v>
      </c>
    </row>
    <row r="367" spans="3:10">
      <c r="C367" s="91"/>
      <c r="D367" s="823" t="s">
        <v>41</v>
      </c>
      <c r="E367" s="823"/>
      <c r="F367" s="823"/>
      <c r="G367" s="937">
        <v>883000</v>
      </c>
      <c r="H367" s="937"/>
      <c r="I367" s="92"/>
      <c r="J367" s="92"/>
    </row>
    <row r="368" spans="3:10">
      <c r="C368" s="91"/>
      <c r="D368" s="835" t="s">
        <v>207</v>
      </c>
      <c r="E368" s="835"/>
      <c r="F368" s="835"/>
      <c r="G368" s="532">
        <v>1</v>
      </c>
      <c r="H368" s="532" t="s">
        <v>64</v>
      </c>
      <c r="I368" s="92">
        <f>G367*25%</f>
        <v>220750</v>
      </c>
      <c r="J368" s="92">
        <f>SUM(G368*I368)</f>
        <v>220750</v>
      </c>
    </row>
    <row r="369" spans="3:10">
      <c r="C369" s="91"/>
      <c r="D369" s="835" t="s">
        <v>695</v>
      </c>
      <c r="E369" s="835"/>
      <c r="F369" s="835"/>
      <c r="G369" s="532">
        <v>1</v>
      </c>
      <c r="H369" s="532" t="s">
        <v>64</v>
      </c>
      <c r="I369" s="92">
        <f>G367*15%</f>
        <v>132450</v>
      </c>
      <c r="J369" s="92">
        <f>SUM(G369*I369)</f>
        <v>132450</v>
      </c>
    </row>
    <row r="370" spans="3:10">
      <c r="C370" s="91"/>
      <c r="D370" s="835" t="s">
        <v>70</v>
      </c>
      <c r="E370" s="835"/>
      <c r="F370" s="835"/>
      <c r="G370" s="532">
        <v>6</v>
      </c>
      <c r="H370" s="532" t="s">
        <v>64</v>
      </c>
      <c r="I370" s="92">
        <f>G367*60%/6</f>
        <v>88300</v>
      </c>
      <c r="J370" s="92">
        <f>SUM(G370*I370)</f>
        <v>529800</v>
      </c>
    </row>
    <row r="371" spans="3:10">
      <c r="C371" s="91"/>
      <c r="D371" s="836" t="s">
        <v>215</v>
      </c>
      <c r="E371" s="836"/>
      <c r="F371" s="836"/>
      <c r="G371" s="532">
        <v>1</v>
      </c>
      <c r="H371" s="532" t="s">
        <v>217</v>
      </c>
      <c r="I371" s="92">
        <v>150000</v>
      </c>
      <c r="J371" s="92">
        <f t="shared" ref="J371:J377" si="38">SUM(G371*I371)</f>
        <v>150000</v>
      </c>
    </row>
    <row r="372" spans="3:10">
      <c r="C372" s="91"/>
      <c r="D372" s="836" t="s">
        <v>216</v>
      </c>
      <c r="E372" s="836"/>
      <c r="F372" s="836"/>
      <c r="G372" s="532">
        <v>1</v>
      </c>
      <c r="H372" s="532" t="s">
        <v>217</v>
      </c>
      <c r="I372" s="92">
        <v>50000</v>
      </c>
      <c r="J372" s="92">
        <f t="shared" si="38"/>
        <v>50000</v>
      </c>
    </row>
    <row r="373" spans="3:10">
      <c r="C373" s="94"/>
      <c r="D373" s="836" t="s">
        <v>628</v>
      </c>
      <c r="E373" s="836"/>
      <c r="F373" s="836"/>
      <c r="G373" s="532">
        <v>35</v>
      </c>
      <c r="H373" s="532" t="s">
        <v>644</v>
      </c>
      <c r="I373" s="95">
        <v>60000</v>
      </c>
      <c r="J373" s="92">
        <f t="shared" si="38"/>
        <v>2100000</v>
      </c>
    </row>
    <row r="374" spans="3:10">
      <c r="C374" s="94"/>
      <c r="D374" s="837" t="s">
        <v>642</v>
      </c>
      <c r="E374" s="838"/>
      <c r="F374" s="839"/>
      <c r="G374" s="532">
        <v>18</v>
      </c>
      <c r="H374" s="532" t="s">
        <v>644</v>
      </c>
      <c r="I374" s="95">
        <v>70000</v>
      </c>
      <c r="J374" s="89">
        <f t="shared" si="38"/>
        <v>1260000</v>
      </c>
    </row>
    <row r="375" spans="3:10">
      <c r="C375" s="94"/>
      <c r="D375" s="837" t="s">
        <v>892</v>
      </c>
      <c r="E375" s="838"/>
      <c r="F375" s="839"/>
      <c r="G375" s="532">
        <v>12</v>
      </c>
      <c r="H375" s="532" t="s">
        <v>644</v>
      </c>
      <c r="I375" s="95">
        <v>60000</v>
      </c>
      <c r="J375" s="89">
        <f t="shared" si="38"/>
        <v>720000</v>
      </c>
    </row>
    <row r="376" spans="3:10">
      <c r="C376" s="94"/>
      <c r="D376" s="837" t="s">
        <v>780</v>
      </c>
      <c r="E376" s="838"/>
      <c r="F376" s="839"/>
      <c r="G376" s="532">
        <v>2</v>
      </c>
      <c r="H376" s="532" t="s">
        <v>217</v>
      </c>
      <c r="I376" s="95">
        <v>3500</v>
      </c>
      <c r="J376" s="89">
        <f t="shared" si="38"/>
        <v>7000</v>
      </c>
    </row>
    <row r="377" spans="3:10">
      <c r="C377" s="94"/>
      <c r="D377" s="837" t="s">
        <v>715</v>
      </c>
      <c r="E377" s="838"/>
      <c r="F377" s="839"/>
      <c r="G377" s="532">
        <v>10</v>
      </c>
      <c r="H377" s="532" t="s">
        <v>699</v>
      </c>
      <c r="I377" s="95">
        <v>27600</v>
      </c>
      <c r="J377" s="89">
        <f t="shared" si="38"/>
        <v>276000</v>
      </c>
    </row>
    <row r="378" spans="3:10">
      <c r="C378" s="96">
        <v>3</v>
      </c>
      <c r="D378" s="813" t="s">
        <v>32</v>
      </c>
      <c r="E378" s="813"/>
      <c r="F378" s="813"/>
      <c r="G378" s="519"/>
      <c r="H378" s="519"/>
      <c r="I378" s="97"/>
      <c r="J378" s="98">
        <f>SUM(J379:J385)</f>
        <v>8941200</v>
      </c>
    </row>
    <row r="379" spans="3:10">
      <c r="C379" s="94"/>
      <c r="D379" s="834" t="s">
        <v>703</v>
      </c>
      <c r="E379" s="835"/>
      <c r="F379" s="835"/>
      <c r="G379" s="532">
        <v>3080</v>
      </c>
      <c r="H379" s="532" t="s">
        <v>241</v>
      </c>
      <c r="I379" s="97">
        <v>800</v>
      </c>
      <c r="J379" s="97">
        <f>G379*I379</f>
        <v>2464000</v>
      </c>
    </row>
    <row r="380" spans="3:10">
      <c r="C380" s="94"/>
      <c r="D380" s="834" t="s">
        <v>700</v>
      </c>
      <c r="E380" s="835"/>
      <c r="F380" s="835"/>
      <c r="G380" s="94">
        <v>3</v>
      </c>
      <c r="H380" s="94" t="s">
        <v>102</v>
      </c>
      <c r="I380" s="97">
        <v>220000</v>
      </c>
      <c r="J380" s="97">
        <f t="shared" ref="J380:J385" si="39">G380*I380</f>
        <v>660000</v>
      </c>
    </row>
    <row r="381" spans="3:10">
      <c r="C381" s="94"/>
      <c r="D381" s="834" t="s">
        <v>758</v>
      </c>
      <c r="E381" s="835"/>
      <c r="F381" s="835"/>
      <c r="G381" s="532">
        <v>29</v>
      </c>
      <c r="H381" s="532" t="s">
        <v>241</v>
      </c>
      <c r="I381" s="97">
        <v>75000</v>
      </c>
      <c r="J381" s="97">
        <f t="shared" si="39"/>
        <v>2175000</v>
      </c>
    </row>
    <row r="382" spans="3:10">
      <c r="C382" s="94"/>
      <c r="D382" s="902" t="s">
        <v>894</v>
      </c>
      <c r="E382" s="915"/>
      <c r="F382" s="916"/>
      <c r="G382" s="532">
        <v>100</v>
      </c>
      <c r="H382" s="532" t="s">
        <v>241</v>
      </c>
      <c r="I382" s="97">
        <v>27500</v>
      </c>
      <c r="J382" s="97">
        <f t="shared" si="39"/>
        <v>2750000</v>
      </c>
    </row>
    <row r="383" spans="3:10">
      <c r="C383" s="94"/>
      <c r="D383" s="902" t="s">
        <v>708</v>
      </c>
      <c r="E383" s="915"/>
      <c r="F383" s="916"/>
      <c r="G383" s="532">
        <v>2</v>
      </c>
      <c r="H383" s="532" t="s">
        <v>241</v>
      </c>
      <c r="I383" s="97">
        <v>280000</v>
      </c>
      <c r="J383" s="97">
        <f t="shared" si="39"/>
        <v>560000</v>
      </c>
    </row>
    <row r="384" spans="3:10">
      <c r="C384" s="94"/>
      <c r="D384" s="902" t="s">
        <v>701</v>
      </c>
      <c r="E384" s="900"/>
      <c r="F384" s="901"/>
      <c r="G384" s="532">
        <v>1</v>
      </c>
      <c r="H384" s="532" t="s">
        <v>102</v>
      </c>
      <c r="I384" s="97">
        <v>300000</v>
      </c>
      <c r="J384" s="97">
        <f t="shared" si="39"/>
        <v>300000</v>
      </c>
    </row>
    <row r="385" spans="3:10">
      <c r="C385" s="94"/>
      <c r="D385" s="902" t="s">
        <v>806</v>
      </c>
      <c r="E385" s="900"/>
      <c r="F385" s="901"/>
      <c r="G385" s="532">
        <v>2</v>
      </c>
      <c r="H385" s="532" t="s">
        <v>250</v>
      </c>
      <c r="I385" s="97">
        <v>16100</v>
      </c>
      <c r="J385" s="97">
        <f t="shared" si="39"/>
        <v>32200</v>
      </c>
    </row>
    <row r="386" spans="3:10">
      <c r="C386" s="101"/>
      <c r="D386" s="811" t="s">
        <v>221</v>
      </c>
      <c r="E386" s="811"/>
      <c r="F386" s="811"/>
      <c r="G386" s="812"/>
      <c r="H386" s="812"/>
      <c r="I386" s="102"/>
      <c r="J386" s="109">
        <f>J364</f>
        <v>12624200</v>
      </c>
    </row>
    <row r="387" spans="3:10" ht="36.75" customHeight="1">
      <c r="C387" s="200" t="s">
        <v>903</v>
      </c>
      <c r="D387" s="820" t="s">
        <v>906</v>
      </c>
      <c r="E387" s="820"/>
      <c r="F387" s="820"/>
      <c r="G387" s="821" t="s">
        <v>905</v>
      </c>
      <c r="H387" s="821"/>
      <c r="I387" s="87"/>
      <c r="J387" s="264">
        <f>J388+J400</f>
        <v>11195300</v>
      </c>
    </row>
    <row r="388" spans="3:10">
      <c r="C388" s="88">
        <v>2</v>
      </c>
      <c r="D388" s="820" t="s">
        <v>34</v>
      </c>
      <c r="E388" s="820"/>
      <c r="F388" s="820"/>
      <c r="G388" s="532" t="s">
        <v>630</v>
      </c>
      <c r="H388" s="532" t="s">
        <v>631</v>
      </c>
      <c r="I388" s="533" t="s">
        <v>825</v>
      </c>
      <c r="J388" s="99">
        <f>SUM(J389:J399)</f>
        <v>3989200</v>
      </c>
    </row>
    <row r="389" spans="3:10">
      <c r="C389" s="91"/>
      <c r="D389" s="822" t="s">
        <v>214</v>
      </c>
      <c r="E389" s="822"/>
      <c r="F389" s="822"/>
      <c r="G389" s="532">
        <v>1</v>
      </c>
      <c r="H389" s="532" t="s">
        <v>233</v>
      </c>
      <c r="I389" s="92">
        <v>250000</v>
      </c>
      <c r="J389" s="92">
        <f>G389*I389</f>
        <v>250000</v>
      </c>
    </row>
    <row r="390" spans="3:10">
      <c r="C390" s="91"/>
      <c r="D390" s="823" t="s">
        <v>41</v>
      </c>
      <c r="E390" s="823"/>
      <c r="F390" s="823"/>
      <c r="G390" s="937">
        <v>781000</v>
      </c>
      <c r="H390" s="937"/>
      <c r="I390" s="92"/>
      <c r="J390" s="92"/>
    </row>
    <row r="391" spans="3:10">
      <c r="C391" s="91"/>
      <c r="D391" s="835" t="s">
        <v>207</v>
      </c>
      <c r="E391" s="835"/>
      <c r="F391" s="835"/>
      <c r="G391" s="532">
        <v>1</v>
      </c>
      <c r="H391" s="532" t="s">
        <v>64</v>
      </c>
      <c r="I391" s="92">
        <f>G390*25%</f>
        <v>195250</v>
      </c>
      <c r="J391" s="92">
        <f>SUM(G391*I391)</f>
        <v>195250</v>
      </c>
    </row>
    <row r="392" spans="3:10">
      <c r="C392" s="91"/>
      <c r="D392" s="835" t="s">
        <v>695</v>
      </c>
      <c r="E392" s="835"/>
      <c r="F392" s="835"/>
      <c r="G392" s="532">
        <v>1</v>
      </c>
      <c r="H392" s="532" t="s">
        <v>64</v>
      </c>
      <c r="I392" s="92">
        <f>G390*15%</f>
        <v>117150</v>
      </c>
      <c r="J392" s="92">
        <f>SUM(G392*I392)</f>
        <v>117150</v>
      </c>
    </row>
    <row r="393" spans="3:10">
      <c r="C393" s="91"/>
      <c r="D393" s="835" t="s">
        <v>70</v>
      </c>
      <c r="E393" s="835"/>
      <c r="F393" s="835"/>
      <c r="G393" s="532">
        <v>6</v>
      </c>
      <c r="H393" s="532" t="s">
        <v>64</v>
      </c>
      <c r="I393" s="92">
        <f>G390*60%/6</f>
        <v>78100</v>
      </c>
      <c r="J393" s="92">
        <f>SUM(G393*I393)</f>
        <v>468600</v>
      </c>
    </row>
    <row r="394" spans="3:10">
      <c r="C394" s="91"/>
      <c r="D394" s="836" t="s">
        <v>215</v>
      </c>
      <c r="E394" s="836"/>
      <c r="F394" s="836"/>
      <c r="G394" s="532">
        <v>1</v>
      </c>
      <c r="H394" s="532" t="s">
        <v>217</v>
      </c>
      <c r="I394" s="92">
        <v>150000</v>
      </c>
      <c r="J394" s="92">
        <f t="shared" ref="J394:J399" si="40">SUM(G394*I394)</f>
        <v>150000</v>
      </c>
    </row>
    <row r="395" spans="3:10">
      <c r="C395" s="91"/>
      <c r="D395" s="836" t="s">
        <v>216</v>
      </c>
      <c r="E395" s="836"/>
      <c r="F395" s="836"/>
      <c r="G395" s="532">
        <v>1</v>
      </c>
      <c r="H395" s="532" t="s">
        <v>217</v>
      </c>
      <c r="I395" s="92">
        <v>50000</v>
      </c>
      <c r="J395" s="92">
        <f t="shared" si="40"/>
        <v>50000</v>
      </c>
    </row>
    <row r="396" spans="3:10">
      <c r="C396" s="91"/>
      <c r="D396" s="837" t="s">
        <v>628</v>
      </c>
      <c r="E396" s="838"/>
      <c r="F396" s="839"/>
      <c r="G396" s="532">
        <v>24</v>
      </c>
      <c r="H396" s="532" t="s">
        <v>644</v>
      </c>
      <c r="I396" s="92">
        <v>60000</v>
      </c>
      <c r="J396" s="92">
        <f t="shared" si="40"/>
        <v>1440000</v>
      </c>
    </row>
    <row r="397" spans="3:10">
      <c r="C397" s="94"/>
      <c r="D397" s="836" t="s">
        <v>642</v>
      </c>
      <c r="E397" s="836"/>
      <c r="F397" s="836"/>
      <c r="G397" s="532">
        <v>14</v>
      </c>
      <c r="H397" s="532" t="s">
        <v>644</v>
      </c>
      <c r="I397" s="95">
        <v>70000</v>
      </c>
      <c r="J397" s="92">
        <f t="shared" si="40"/>
        <v>980000</v>
      </c>
    </row>
    <row r="398" spans="3:10">
      <c r="C398" s="94"/>
      <c r="D398" s="837" t="s">
        <v>715</v>
      </c>
      <c r="E398" s="838"/>
      <c r="F398" s="839"/>
      <c r="G398" s="532">
        <v>7</v>
      </c>
      <c r="H398" s="532" t="s">
        <v>699</v>
      </c>
      <c r="I398" s="95">
        <v>27600</v>
      </c>
      <c r="J398" s="89">
        <f t="shared" si="40"/>
        <v>193200</v>
      </c>
    </row>
    <row r="399" spans="3:10">
      <c r="C399" s="94"/>
      <c r="D399" s="837" t="s">
        <v>719</v>
      </c>
      <c r="E399" s="838"/>
      <c r="F399" s="839"/>
      <c r="G399" s="532">
        <v>10</v>
      </c>
      <c r="H399" s="532" t="s">
        <v>217</v>
      </c>
      <c r="I399" s="95">
        <v>14500</v>
      </c>
      <c r="J399" s="89">
        <f t="shared" si="40"/>
        <v>145000</v>
      </c>
    </row>
    <row r="400" spans="3:10">
      <c r="C400" s="96">
        <v>3</v>
      </c>
      <c r="D400" s="813" t="s">
        <v>32</v>
      </c>
      <c r="E400" s="813"/>
      <c r="F400" s="813"/>
      <c r="G400" s="519"/>
      <c r="H400" s="519"/>
      <c r="I400" s="97"/>
      <c r="J400" s="98">
        <f>SUM(J401:J404)</f>
        <v>7206100</v>
      </c>
    </row>
    <row r="401" spans="3:10">
      <c r="C401" s="94"/>
      <c r="D401" s="834" t="s">
        <v>701</v>
      </c>
      <c r="E401" s="835"/>
      <c r="F401" s="835"/>
      <c r="G401" s="532">
        <v>5</v>
      </c>
      <c r="H401" s="532" t="s">
        <v>241</v>
      </c>
      <c r="I401" s="97">
        <v>300000</v>
      </c>
      <c r="J401" s="97">
        <f>G401*I401</f>
        <v>1500000</v>
      </c>
    </row>
    <row r="402" spans="3:10">
      <c r="C402" s="94"/>
      <c r="D402" s="834" t="s">
        <v>708</v>
      </c>
      <c r="E402" s="835"/>
      <c r="F402" s="835"/>
      <c r="G402" s="94">
        <v>8</v>
      </c>
      <c r="H402" s="94" t="s">
        <v>102</v>
      </c>
      <c r="I402" s="97">
        <v>280000</v>
      </c>
      <c r="J402" s="97">
        <f t="shared" ref="J402:J404" si="41">G402*I402</f>
        <v>2240000</v>
      </c>
    </row>
    <row r="403" spans="3:10">
      <c r="C403" s="94"/>
      <c r="D403" s="834" t="s">
        <v>758</v>
      </c>
      <c r="E403" s="835"/>
      <c r="F403" s="835"/>
      <c r="G403" s="252">
        <v>46</v>
      </c>
      <c r="H403" s="532" t="s">
        <v>241</v>
      </c>
      <c r="I403" s="97">
        <v>75000</v>
      </c>
      <c r="J403" s="97">
        <f t="shared" si="41"/>
        <v>3450000</v>
      </c>
    </row>
    <row r="404" spans="3:10">
      <c r="C404" s="94"/>
      <c r="D404" s="834" t="s">
        <v>776</v>
      </c>
      <c r="E404" s="835"/>
      <c r="F404" s="835"/>
      <c r="G404" s="532">
        <v>1</v>
      </c>
      <c r="H404" s="532" t="s">
        <v>250</v>
      </c>
      <c r="I404" s="97">
        <v>16100</v>
      </c>
      <c r="J404" s="97">
        <f t="shared" si="41"/>
        <v>16100</v>
      </c>
    </row>
    <row r="405" spans="3:10">
      <c r="C405" s="101"/>
      <c r="D405" s="811" t="s">
        <v>221</v>
      </c>
      <c r="E405" s="811"/>
      <c r="F405" s="811"/>
      <c r="G405" s="812"/>
      <c r="H405" s="812"/>
      <c r="I405" s="102"/>
      <c r="J405" s="109">
        <f>J387</f>
        <v>11195300</v>
      </c>
    </row>
    <row r="406" spans="3:10" ht="40.5" customHeight="1">
      <c r="C406" s="200" t="s">
        <v>904</v>
      </c>
      <c r="D406" s="820" t="s">
        <v>616</v>
      </c>
      <c r="E406" s="820"/>
      <c r="F406" s="820"/>
      <c r="G406" s="821" t="s">
        <v>853</v>
      </c>
      <c r="H406" s="821"/>
      <c r="I406" s="87"/>
      <c r="J406" s="264">
        <f>SUM(J407+J417)</f>
        <v>150000000</v>
      </c>
    </row>
    <row r="407" spans="3:10">
      <c r="C407" s="88">
        <v>2</v>
      </c>
      <c r="D407" s="820" t="s">
        <v>34</v>
      </c>
      <c r="E407" s="820"/>
      <c r="F407" s="820"/>
      <c r="G407" s="532" t="s">
        <v>630</v>
      </c>
      <c r="H407" s="532" t="s">
        <v>631</v>
      </c>
      <c r="I407" s="89"/>
      <c r="J407" s="99">
        <f>SUM(J408:J416)</f>
        <v>7500000</v>
      </c>
    </row>
    <row r="408" spans="3:10">
      <c r="C408" s="91"/>
      <c r="D408" s="822" t="s">
        <v>214</v>
      </c>
      <c r="E408" s="822"/>
      <c r="F408" s="822"/>
      <c r="G408" s="532">
        <v>1</v>
      </c>
      <c r="H408" s="532" t="s">
        <v>233</v>
      </c>
      <c r="I408" s="92">
        <v>1300000</v>
      </c>
      <c r="J408" s="92">
        <f>G408*I408</f>
        <v>1300000</v>
      </c>
    </row>
    <row r="409" spans="3:10">
      <c r="C409" s="91"/>
      <c r="D409" s="823" t="s">
        <v>487</v>
      </c>
      <c r="E409" s="823"/>
      <c r="F409" s="823"/>
      <c r="G409" s="937"/>
      <c r="H409" s="937"/>
      <c r="I409" s="92">
        <v>1400000</v>
      </c>
      <c r="J409" s="92"/>
    </row>
    <row r="410" spans="3:10">
      <c r="C410" s="91"/>
      <c r="D410" s="835" t="s">
        <v>207</v>
      </c>
      <c r="E410" s="835"/>
      <c r="F410" s="835"/>
      <c r="G410" s="532">
        <v>1</v>
      </c>
      <c r="H410" s="532" t="s">
        <v>64</v>
      </c>
      <c r="I410" s="92">
        <f>I409*25%</f>
        <v>350000</v>
      </c>
      <c r="J410" s="92">
        <f>G410*I410</f>
        <v>350000</v>
      </c>
    </row>
    <row r="411" spans="3:10">
      <c r="C411" s="91"/>
      <c r="D411" s="835" t="s">
        <v>695</v>
      </c>
      <c r="E411" s="835"/>
      <c r="F411" s="835"/>
      <c r="G411" s="532">
        <v>1</v>
      </c>
      <c r="H411" s="532" t="s">
        <v>64</v>
      </c>
      <c r="I411" s="92">
        <f>I409*15%</f>
        <v>210000</v>
      </c>
      <c r="J411" s="92">
        <f t="shared" ref="J411:J416" si="42">G411*I411</f>
        <v>210000</v>
      </c>
    </row>
    <row r="412" spans="3:10">
      <c r="C412" s="91"/>
      <c r="D412" s="835" t="s">
        <v>70</v>
      </c>
      <c r="E412" s="835"/>
      <c r="F412" s="835"/>
      <c r="G412" s="532">
        <v>6</v>
      </c>
      <c r="H412" s="532" t="s">
        <v>64</v>
      </c>
      <c r="I412" s="92">
        <f>I409*60%/6</f>
        <v>140000</v>
      </c>
      <c r="J412" s="92">
        <f t="shared" si="42"/>
        <v>840000</v>
      </c>
    </row>
    <row r="413" spans="3:10">
      <c r="C413" s="91"/>
      <c r="D413" s="836" t="s">
        <v>215</v>
      </c>
      <c r="E413" s="836"/>
      <c r="F413" s="836"/>
      <c r="G413" s="532">
        <v>1</v>
      </c>
      <c r="H413" s="532" t="s">
        <v>217</v>
      </c>
      <c r="I413" s="92">
        <v>150000</v>
      </c>
      <c r="J413" s="92">
        <f t="shared" si="42"/>
        <v>150000</v>
      </c>
    </row>
    <row r="414" spans="3:10">
      <c r="C414" s="91"/>
      <c r="D414" s="836" t="s">
        <v>216</v>
      </c>
      <c r="E414" s="836"/>
      <c r="F414" s="836"/>
      <c r="G414" s="532">
        <v>1</v>
      </c>
      <c r="H414" s="532" t="s">
        <v>217</v>
      </c>
      <c r="I414" s="92">
        <v>50000</v>
      </c>
      <c r="J414" s="92">
        <f t="shared" si="42"/>
        <v>50000</v>
      </c>
    </row>
    <row r="415" spans="3:10">
      <c r="C415" s="91"/>
      <c r="D415" s="836" t="s">
        <v>628</v>
      </c>
      <c r="E415" s="836"/>
      <c r="F415" s="836"/>
      <c r="G415" s="532">
        <v>30</v>
      </c>
      <c r="H415" s="532" t="s">
        <v>644</v>
      </c>
      <c r="I415" s="92">
        <v>60000</v>
      </c>
      <c r="J415" s="92">
        <f t="shared" si="42"/>
        <v>1800000</v>
      </c>
    </row>
    <row r="416" spans="3:10">
      <c r="C416" s="94"/>
      <c r="D416" s="836" t="s">
        <v>642</v>
      </c>
      <c r="E416" s="836"/>
      <c r="F416" s="836"/>
      <c r="G416" s="532">
        <v>40</v>
      </c>
      <c r="H416" s="532" t="s">
        <v>644</v>
      </c>
      <c r="I416" s="95">
        <v>70000</v>
      </c>
      <c r="J416" s="92">
        <f t="shared" si="42"/>
        <v>2800000</v>
      </c>
    </row>
    <row r="417" spans="3:10">
      <c r="C417" s="96">
        <v>3</v>
      </c>
      <c r="D417" s="813" t="s">
        <v>32</v>
      </c>
      <c r="E417" s="813"/>
      <c r="F417" s="813"/>
      <c r="G417" s="519"/>
      <c r="H417" s="519"/>
      <c r="I417" s="97"/>
      <c r="J417" s="98">
        <f>SUM(J418:J432)</f>
        <v>142500000</v>
      </c>
    </row>
    <row r="418" spans="3:10">
      <c r="C418" s="94"/>
      <c r="D418" s="834" t="s">
        <v>700</v>
      </c>
      <c r="E418" s="835"/>
      <c r="F418" s="835"/>
      <c r="G418" s="532">
        <v>73</v>
      </c>
      <c r="H418" s="532" t="s">
        <v>241</v>
      </c>
      <c r="I418" s="97">
        <v>220000</v>
      </c>
      <c r="J418" s="97">
        <f>G418*I418</f>
        <v>16060000</v>
      </c>
    </row>
    <row r="419" spans="3:10">
      <c r="C419" s="94"/>
      <c r="D419" s="834" t="s">
        <v>703</v>
      </c>
      <c r="E419" s="835"/>
      <c r="F419" s="835"/>
      <c r="G419" s="94">
        <v>19750</v>
      </c>
      <c r="H419" s="94" t="s">
        <v>102</v>
      </c>
      <c r="I419" s="97">
        <v>800</v>
      </c>
      <c r="J419" s="97">
        <f t="shared" ref="J419:J432" si="43">G419*I419</f>
        <v>15800000</v>
      </c>
    </row>
    <row r="420" spans="3:10">
      <c r="C420" s="94"/>
      <c r="D420" s="834" t="s">
        <v>702</v>
      </c>
      <c r="E420" s="835"/>
      <c r="F420" s="835"/>
      <c r="G420" s="532">
        <v>30</v>
      </c>
      <c r="H420" s="532" t="s">
        <v>241</v>
      </c>
      <c r="I420" s="97">
        <v>232000</v>
      </c>
      <c r="J420" s="97">
        <f t="shared" si="43"/>
        <v>6960000</v>
      </c>
    </row>
    <row r="421" spans="3:10">
      <c r="C421" s="94"/>
      <c r="D421" s="834" t="s">
        <v>701</v>
      </c>
      <c r="E421" s="835"/>
      <c r="F421" s="835"/>
      <c r="G421" s="532">
        <v>13</v>
      </c>
      <c r="H421" s="532" t="s">
        <v>241</v>
      </c>
      <c r="I421" s="97">
        <v>350000</v>
      </c>
      <c r="J421" s="97">
        <f t="shared" si="43"/>
        <v>4550000</v>
      </c>
    </row>
    <row r="422" spans="3:10">
      <c r="C422" s="94"/>
      <c r="D422" s="834" t="s">
        <v>758</v>
      </c>
      <c r="E422" s="835"/>
      <c r="F422" s="835"/>
      <c r="G422" s="532">
        <v>561</v>
      </c>
      <c r="H422" s="532" t="s">
        <v>288</v>
      </c>
      <c r="I422" s="97">
        <v>75000</v>
      </c>
      <c r="J422" s="97">
        <f t="shared" si="43"/>
        <v>42075000</v>
      </c>
    </row>
    <row r="423" spans="3:10">
      <c r="C423" s="94"/>
      <c r="D423" s="902" t="s">
        <v>708</v>
      </c>
      <c r="E423" s="900"/>
      <c r="F423" s="901"/>
      <c r="G423" s="252">
        <v>22</v>
      </c>
      <c r="H423" s="532" t="s">
        <v>241</v>
      </c>
      <c r="I423" s="97">
        <v>250000</v>
      </c>
      <c r="J423" s="97">
        <f t="shared" si="43"/>
        <v>5500000</v>
      </c>
    </row>
    <row r="424" spans="3:10">
      <c r="C424" s="94"/>
      <c r="D424" s="902" t="s">
        <v>836</v>
      </c>
      <c r="E424" s="900"/>
      <c r="F424" s="901"/>
      <c r="G424" s="532">
        <v>480</v>
      </c>
      <c r="H424" s="532" t="s">
        <v>102</v>
      </c>
      <c r="I424" s="97">
        <v>44000</v>
      </c>
      <c r="J424" s="97">
        <f t="shared" si="43"/>
        <v>21120000</v>
      </c>
    </row>
    <row r="425" spans="3:10">
      <c r="C425" s="94"/>
      <c r="D425" s="902" t="s">
        <v>837</v>
      </c>
      <c r="E425" s="900"/>
      <c r="F425" s="901"/>
      <c r="G425" s="532">
        <v>31</v>
      </c>
      <c r="H425" s="532" t="s">
        <v>486</v>
      </c>
      <c r="I425" s="97">
        <v>871000</v>
      </c>
      <c r="J425" s="97">
        <f t="shared" si="43"/>
        <v>27001000</v>
      </c>
    </row>
    <row r="426" spans="3:10">
      <c r="C426" s="94"/>
      <c r="D426" s="902" t="s">
        <v>713</v>
      </c>
      <c r="E426" s="900"/>
      <c r="F426" s="901"/>
      <c r="G426" s="532">
        <v>30</v>
      </c>
      <c r="H426" s="532" t="s">
        <v>297</v>
      </c>
      <c r="I426" s="97">
        <v>60000</v>
      </c>
      <c r="J426" s="97">
        <f t="shared" si="43"/>
        <v>1800000</v>
      </c>
    </row>
    <row r="427" spans="3:10">
      <c r="C427" s="94"/>
      <c r="D427" s="902" t="s">
        <v>806</v>
      </c>
      <c r="E427" s="900"/>
      <c r="F427" s="901"/>
      <c r="G427" s="532">
        <v>12</v>
      </c>
      <c r="H427" s="532" t="s">
        <v>251</v>
      </c>
      <c r="I427" s="97">
        <v>25000</v>
      </c>
      <c r="J427" s="97">
        <f t="shared" si="43"/>
        <v>300000</v>
      </c>
    </row>
    <row r="428" spans="3:10">
      <c r="C428" s="94"/>
      <c r="D428" s="902" t="s">
        <v>852</v>
      </c>
      <c r="E428" s="915"/>
      <c r="F428" s="916"/>
      <c r="G428" s="532">
        <v>1</v>
      </c>
      <c r="H428" s="532" t="s">
        <v>102</v>
      </c>
      <c r="I428" s="97">
        <v>3200</v>
      </c>
      <c r="J428" s="97">
        <f t="shared" si="43"/>
        <v>3200</v>
      </c>
    </row>
    <row r="429" spans="3:10">
      <c r="C429" s="94"/>
      <c r="D429" s="902" t="s">
        <v>750</v>
      </c>
      <c r="E429" s="915"/>
      <c r="F429" s="916"/>
      <c r="G429" s="532">
        <v>5</v>
      </c>
      <c r="H429" s="532" t="s">
        <v>217</v>
      </c>
      <c r="I429" s="97">
        <v>25000</v>
      </c>
      <c r="J429" s="97">
        <f t="shared" si="43"/>
        <v>125000</v>
      </c>
    </row>
    <row r="430" spans="3:10">
      <c r="C430" s="94"/>
      <c r="D430" s="902" t="s">
        <v>720</v>
      </c>
      <c r="E430" s="915"/>
      <c r="F430" s="916"/>
      <c r="G430" s="532">
        <v>2</v>
      </c>
      <c r="H430" s="532" t="s">
        <v>217</v>
      </c>
      <c r="I430" s="97">
        <v>75000</v>
      </c>
      <c r="J430" s="97">
        <f t="shared" si="43"/>
        <v>150000</v>
      </c>
    </row>
    <row r="431" spans="3:10">
      <c r="C431" s="94"/>
      <c r="D431" s="902" t="s">
        <v>715</v>
      </c>
      <c r="E431" s="915"/>
      <c r="F431" s="916"/>
      <c r="G431" s="532">
        <v>33</v>
      </c>
      <c r="H431" s="532" t="s">
        <v>699</v>
      </c>
      <c r="I431" s="97">
        <v>27600</v>
      </c>
      <c r="J431" s="97">
        <f t="shared" si="43"/>
        <v>910800</v>
      </c>
    </row>
    <row r="432" spans="3:10">
      <c r="C432" s="94"/>
      <c r="D432" s="902" t="s">
        <v>719</v>
      </c>
      <c r="E432" s="900"/>
      <c r="F432" s="901"/>
      <c r="G432" s="532">
        <v>10</v>
      </c>
      <c r="H432" s="532" t="s">
        <v>102</v>
      </c>
      <c r="I432" s="95">
        <v>14500</v>
      </c>
      <c r="J432" s="97">
        <f t="shared" si="43"/>
        <v>145000</v>
      </c>
    </row>
    <row r="433" spans="3:10">
      <c r="C433" s="101"/>
      <c r="D433" s="811" t="s">
        <v>221</v>
      </c>
      <c r="E433" s="811"/>
      <c r="F433" s="811"/>
      <c r="G433" s="812"/>
      <c r="H433" s="812"/>
      <c r="I433" s="102"/>
      <c r="J433" s="109">
        <f>J406</f>
        <v>150000000</v>
      </c>
    </row>
    <row r="434" spans="3:10">
      <c r="D434" s="522"/>
      <c r="E434" s="77"/>
      <c r="F434" s="77"/>
      <c r="G434" s="79"/>
      <c r="H434" s="810" t="s">
        <v>913</v>
      </c>
      <c r="I434" s="810"/>
      <c r="J434" s="810"/>
    </row>
    <row r="435" spans="3:10">
      <c r="D435" s="77"/>
      <c r="E435" s="78" t="s">
        <v>76</v>
      </c>
      <c r="F435" s="78"/>
      <c r="G435" s="79"/>
      <c r="H435" s="810" t="s">
        <v>77</v>
      </c>
      <c r="I435" s="810"/>
      <c r="J435" s="810"/>
    </row>
    <row r="436" spans="3:10">
      <c r="D436" s="77"/>
      <c r="E436" s="78" t="s">
        <v>78</v>
      </c>
      <c r="F436" s="522"/>
      <c r="G436" s="79"/>
      <c r="H436" s="79"/>
      <c r="I436" s="104"/>
      <c r="J436" s="104"/>
    </row>
    <row r="437" spans="3:10">
      <c r="D437" s="522"/>
      <c r="E437" s="522"/>
      <c r="F437" s="522"/>
      <c r="G437" s="79"/>
      <c r="H437" s="79"/>
      <c r="I437" s="80"/>
      <c r="J437" s="80"/>
    </row>
    <row r="438" spans="3:10">
      <c r="D438" s="522"/>
      <c r="E438" s="522"/>
      <c r="F438" s="522"/>
      <c r="G438" s="79"/>
      <c r="H438" s="79"/>
      <c r="I438" s="80"/>
      <c r="J438" s="80"/>
    </row>
    <row r="439" spans="3:10">
      <c r="D439" s="522"/>
      <c r="E439" s="522"/>
      <c r="F439" s="522"/>
      <c r="G439" s="79"/>
      <c r="H439" s="79"/>
      <c r="I439" s="80"/>
      <c r="J439" s="80"/>
    </row>
    <row r="440" spans="3:10">
      <c r="D440" s="522"/>
      <c r="E440" s="78" t="s">
        <v>51</v>
      </c>
      <c r="F440" s="78"/>
      <c r="G440" s="79"/>
      <c r="H440" s="810" t="s">
        <v>225</v>
      </c>
      <c r="I440" s="810"/>
      <c r="J440" s="810"/>
    </row>
  </sheetData>
  <mergeCells count="597">
    <mergeCell ref="D14:F14"/>
    <mergeCell ref="G14:H14"/>
    <mergeCell ref="D15:F15"/>
    <mergeCell ref="G15:H15"/>
    <mergeCell ref="D16:F16"/>
    <mergeCell ref="G16:H16"/>
    <mergeCell ref="D22:F22"/>
    <mergeCell ref="D23:F23"/>
    <mergeCell ref="B1:J1"/>
    <mergeCell ref="B2:J2"/>
    <mergeCell ref="B3:J3"/>
    <mergeCell ref="E6:I6"/>
    <mergeCell ref="C12:C13"/>
    <mergeCell ref="D12:F13"/>
    <mergeCell ref="G12:H13"/>
    <mergeCell ref="G19:H19"/>
    <mergeCell ref="D20:F20"/>
    <mergeCell ref="D24:F24"/>
    <mergeCell ref="D25:F25"/>
    <mergeCell ref="D26:F26"/>
    <mergeCell ref="D27:F27"/>
    <mergeCell ref="D17:F17"/>
    <mergeCell ref="D18:F18"/>
    <mergeCell ref="D19:F19"/>
    <mergeCell ref="D34:F34"/>
    <mergeCell ref="D35:F35"/>
    <mergeCell ref="D21:F21"/>
    <mergeCell ref="D36:F36"/>
    <mergeCell ref="D37:F37"/>
    <mergeCell ref="D38:F38"/>
    <mergeCell ref="D39:F39"/>
    <mergeCell ref="D28:F28"/>
    <mergeCell ref="D29:F29"/>
    <mergeCell ref="D30:F30"/>
    <mergeCell ref="D31:F31"/>
    <mergeCell ref="D32:F32"/>
    <mergeCell ref="D33:F33"/>
    <mergeCell ref="D44:F44"/>
    <mergeCell ref="D45:F45"/>
    <mergeCell ref="D46:F46"/>
    <mergeCell ref="G46:H46"/>
    <mergeCell ref="D47:F47"/>
    <mergeCell ref="D48:F48"/>
    <mergeCell ref="D40:F40"/>
    <mergeCell ref="D41:F41"/>
    <mergeCell ref="D42:F42"/>
    <mergeCell ref="G42:H42"/>
    <mergeCell ref="D43:F43"/>
    <mergeCell ref="G43:H43"/>
    <mergeCell ref="D55:F55"/>
    <mergeCell ref="D56:F56"/>
    <mergeCell ref="D57:F57"/>
    <mergeCell ref="D58:F58"/>
    <mergeCell ref="D59:F59"/>
    <mergeCell ref="D60:F60"/>
    <mergeCell ref="D49:F49"/>
    <mergeCell ref="D50:F50"/>
    <mergeCell ref="D51:F51"/>
    <mergeCell ref="D52:F52"/>
    <mergeCell ref="D53:F53"/>
    <mergeCell ref="D54:F54"/>
    <mergeCell ref="D67:F67"/>
    <mergeCell ref="D68:F68"/>
    <mergeCell ref="D69:F69"/>
    <mergeCell ref="G69:H69"/>
    <mergeCell ref="D61:F61"/>
    <mergeCell ref="D62:F62"/>
    <mergeCell ref="D63:F63"/>
    <mergeCell ref="D64:F64"/>
    <mergeCell ref="D65:F65"/>
    <mergeCell ref="D66:F66"/>
    <mergeCell ref="D74:F74"/>
    <mergeCell ref="D75:F75"/>
    <mergeCell ref="D76:F76"/>
    <mergeCell ref="D77:F77"/>
    <mergeCell ref="D78:F78"/>
    <mergeCell ref="D79:F79"/>
    <mergeCell ref="D70:F70"/>
    <mergeCell ref="G70:H70"/>
    <mergeCell ref="D71:F71"/>
    <mergeCell ref="D72:F72"/>
    <mergeCell ref="D73:F73"/>
    <mergeCell ref="G73:H73"/>
    <mergeCell ref="D86:F86"/>
    <mergeCell ref="D87:F87"/>
    <mergeCell ref="D88:F88"/>
    <mergeCell ref="D89:F89"/>
    <mergeCell ref="D90:F90"/>
    <mergeCell ref="D91:F91"/>
    <mergeCell ref="D80:F80"/>
    <mergeCell ref="D81:F81"/>
    <mergeCell ref="D82:F82"/>
    <mergeCell ref="D83:F83"/>
    <mergeCell ref="D84:F84"/>
    <mergeCell ref="D85:F85"/>
    <mergeCell ref="D96:F96"/>
    <mergeCell ref="G96:H96"/>
    <mergeCell ref="D97:F97"/>
    <mergeCell ref="D98:F98"/>
    <mergeCell ref="D99:F99"/>
    <mergeCell ref="D100:F100"/>
    <mergeCell ref="D92:F92"/>
    <mergeCell ref="G92:H92"/>
    <mergeCell ref="D93:F93"/>
    <mergeCell ref="G93:H93"/>
    <mergeCell ref="D94:F94"/>
    <mergeCell ref="D95:F95"/>
    <mergeCell ref="D107:F107"/>
    <mergeCell ref="D108:F108"/>
    <mergeCell ref="D109:F109"/>
    <mergeCell ref="D110:F110"/>
    <mergeCell ref="D111:F111"/>
    <mergeCell ref="D112:F112"/>
    <mergeCell ref="D101:F101"/>
    <mergeCell ref="D102:F102"/>
    <mergeCell ref="D103:F103"/>
    <mergeCell ref="D104:F104"/>
    <mergeCell ref="D105:F105"/>
    <mergeCell ref="D106:F106"/>
    <mergeCell ref="D117:F117"/>
    <mergeCell ref="D118:F118"/>
    <mergeCell ref="D119:F119"/>
    <mergeCell ref="D120:F120"/>
    <mergeCell ref="D121:F121"/>
    <mergeCell ref="D122:F122"/>
    <mergeCell ref="G112:H112"/>
    <mergeCell ref="D113:F113"/>
    <mergeCell ref="G113:H113"/>
    <mergeCell ref="D114:F114"/>
    <mergeCell ref="D115:F115"/>
    <mergeCell ref="D116:F116"/>
    <mergeCell ref="G116:H116"/>
    <mergeCell ref="D129:F129"/>
    <mergeCell ref="D130:F130"/>
    <mergeCell ref="D131:F131"/>
    <mergeCell ref="D132:F132"/>
    <mergeCell ref="D133:F133"/>
    <mergeCell ref="D134:F134"/>
    <mergeCell ref="D123:F123"/>
    <mergeCell ref="D124:F124"/>
    <mergeCell ref="D125:F125"/>
    <mergeCell ref="D126:F126"/>
    <mergeCell ref="D127:F127"/>
    <mergeCell ref="D128:F128"/>
    <mergeCell ref="D139:F139"/>
    <mergeCell ref="D140:F140"/>
    <mergeCell ref="G140:H140"/>
    <mergeCell ref="D141:F141"/>
    <mergeCell ref="D142:F142"/>
    <mergeCell ref="D143:F143"/>
    <mergeCell ref="D135:F135"/>
    <mergeCell ref="D136:F136"/>
    <mergeCell ref="G136:H136"/>
    <mergeCell ref="D137:F137"/>
    <mergeCell ref="G137:H137"/>
    <mergeCell ref="D138:F138"/>
    <mergeCell ref="D150:F150"/>
    <mergeCell ref="D151:F151"/>
    <mergeCell ref="D152:F152"/>
    <mergeCell ref="D153:F153"/>
    <mergeCell ref="D154:F154"/>
    <mergeCell ref="D155:F155"/>
    <mergeCell ref="D144:F144"/>
    <mergeCell ref="D145:F145"/>
    <mergeCell ref="D146:F146"/>
    <mergeCell ref="D147:F147"/>
    <mergeCell ref="D148:F148"/>
    <mergeCell ref="D149:F149"/>
    <mergeCell ref="G162:H162"/>
    <mergeCell ref="D163:F163"/>
    <mergeCell ref="D164:F164"/>
    <mergeCell ref="D156:F156"/>
    <mergeCell ref="D157:F157"/>
    <mergeCell ref="D158:F158"/>
    <mergeCell ref="G158:H158"/>
    <mergeCell ref="D159:F159"/>
    <mergeCell ref="G159:H159"/>
    <mergeCell ref="D165:F165"/>
    <mergeCell ref="D166:F166"/>
    <mergeCell ref="D167:F167"/>
    <mergeCell ref="D168:F168"/>
    <mergeCell ref="D169:F169"/>
    <mergeCell ref="D170:F170"/>
    <mergeCell ref="D160:F160"/>
    <mergeCell ref="D161:F161"/>
    <mergeCell ref="D162:F162"/>
    <mergeCell ref="D177:F177"/>
    <mergeCell ref="D178:F178"/>
    <mergeCell ref="G178:H178"/>
    <mergeCell ref="D179:F179"/>
    <mergeCell ref="D180:F180"/>
    <mergeCell ref="D181:F181"/>
    <mergeCell ref="G181:H181"/>
    <mergeCell ref="D171:F171"/>
    <mergeCell ref="D172:F172"/>
    <mergeCell ref="D173:F173"/>
    <mergeCell ref="D174:F174"/>
    <mergeCell ref="D175:F175"/>
    <mergeCell ref="D176:F176"/>
    <mergeCell ref="D188:F188"/>
    <mergeCell ref="D189:F189"/>
    <mergeCell ref="D190:F190"/>
    <mergeCell ref="D191:F191"/>
    <mergeCell ref="D192:F192"/>
    <mergeCell ref="D193:F193"/>
    <mergeCell ref="D182:F182"/>
    <mergeCell ref="D183:F183"/>
    <mergeCell ref="D184:F184"/>
    <mergeCell ref="D185:F185"/>
    <mergeCell ref="D186:F186"/>
    <mergeCell ref="D187:F187"/>
    <mergeCell ref="D200:F200"/>
    <mergeCell ref="G200:H200"/>
    <mergeCell ref="D201:F201"/>
    <mergeCell ref="D202:F202"/>
    <mergeCell ref="D203:F203"/>
    <mergeCell ref="G203:H203"/>
    <mergeCell ref="D194:F194"/>
    <mergeCell ref="D195:F195"/>
    <mergeCell ref="D196:F196"/>
    <mergeCell ref="D197:F197"/>
    <mergeCell ref="D198:F198"/>
    <mergeCell ref="D199:F199"/>
    <mergeCell ref="D210:F210"/>
    <mergeCell ref="D211:F211"/>
    <mergeCell ref="D212:F212"/>
    <mergeCell ref="D213:F213"/>
    <mergeCell ref="D214:F214"/>
    <mergeCell ref="D215:F215"/>
    <mergeCell ref="D204:F204"/>
    <mergeCell ref="D205:F205"/>
    <mergeCell ref="D206:F206"/>
    <mergeCell ref="D207:F207"/>
    <mergeCell ref="D208:F208"/>
    <mergeCell ref="D209:F209"/>
    <mergeCell ref="G222:H222"/>
    <mergeCell ref="D223:F223"/>
    <mergeCell ref="D224:F224"/>
    <mergeCell ref="D216:F216"/>
    <mergeCell ref="D217:F217"/>
    <mergeCell ref="D218:F218"/>
    <mergeCell ref="G218:H218"/>
    <mergeCell ref="D219:F219"/>
    <mergeCell ref="G219:H219"/>
    <mergeCell ref="D225:F225"/>
    <mergeCell ref="D226:F226"/>
    <mergeCell ref="D227:F227"/>
    <mergeCell ref="D228:F228"/>
    <mergeCell ref="D229:F229"/>
    <mergeCell ref="D230:F230"/>
    <mergeCell ref="D220:F220"/>
    <mergeCell ref="D221:F221"/>
    <mergeCell ref="D222:F222"/>
    <mergeCell ref="D237:F237"/>
    <mergeCell ref="G237:H237"/>
    <mergeCell ref="D238:F238"/>
    <mergeCell ref="G238:H238"/>
    <mergeCell ref="D239:F239"/>
    <mergeCell ref="D240:F240"/>
    <mergeCell ref="D231:F231"/>
    <mergeCell ref="D232:F232"/>
    <mergeCell ref="D233:F233"/>
    <mergeCell ref="D234:F234"/>
    <mergeCell ref="D235:F235"/>
    <mergeCell ref="D236:F236"/>
    <mergeCell ref="D246:F246"/>
    <mergeCell ref="D247:F247"/>
    <mergeCell ref="D248:F248"/>
    <mergeCell ref="D249:F249"/>
    <mergeCell ref="D250:F250"/>
    <mergeCell ref="D251:F251"/>
    <mergeCell ref="D241:F241"/>
    <mergeCell ref="G241:H241"/>
    <mergeCell ref="D242:F242"/>
    <mergeCell ref="D243:F243"/>
    <mergeCell ref="D244:F244"/>
    <mergeCell ref="D245:F245"/>
    <mergeCell ref="D258:F258"/>
    <mergeCell ref="D259:F259"/>
    <mergeCell ref="D260:F260"/>
    <mergeCell ref="D261:F261"/>
    <mergeCell ref="D262:F262"/>
    <mergeCell ref="D263:F263"/>
    <mergeCell ref="D252:F252"/>
    <mergeCell ref="D253:F253"/>
    <mergeCell ref="D254:F254"/>
    <mergeCell ref="D255:F255"/>
    <mergeCell ref="D256:F256"/>
    <mergeCell ref="D257:F257"/>
    <mergeCell ref="D268:F268"/>
    <mergeCell ref="D269:F269"/>
    <mergeCell ref="D270:F270"/>
    <mergeCell ref="D271:F271"/>
    <mergeCell ref="D272:F272"/>
    <mergeCell ref="D273:F273"/>
    <mergeCell ref="G263:H263"/>
    <mergeCell ref="D264:F264"/>
    <mergeCell ref="G264:H264"/>
    <mergeCell ref="D265:F265"/>
    <mergeCell ref="D266:F266"/>
    <mergeCell ref="D267:F267"/>
    <mergeCell ref="G267:H267"/>
    <mergeCell ref="D280:F280"/>
    <mergeCell ref="D281:F281"/>
    <mergeCell ref="D282:F282"/>
    <mergeCell ref="D283:F283"/>
    <mergeCell ref="D284:F284"/>
    <mergeCell ref="D285:F285"/>
    <mergeCell ref="D274:F274"/>
    <mergeCell ref="D275:F275"/>
    <mergeCell ref="D276:F276"/>
    <mergeCell ref="D277:F277"/>
    <mergeCell ref="D278:F278"/>
    <mergeCell ref="D279:F279"/>
    <mergeCell ref="G293:H293"/>
    <mergeCell ref="D294:F294"/>
    <mergeCell ref="D295:F295"/>
    <mergeCell ref="D286:F286"/>
    <mergeCell ref="D287:F287"/>
    <mergeCell ref="D288:F288"/>
    <mergeCell ref="D289:F289"/>
    <mergeCell ref="G289:H289"/>
    <mergeCell ref="D290:F290"/>
    <mergeCell ref="G290:I290"/>
    <mergeCell ref="D296:F296"/>
    <mergeCell ref="D297:F297"/>
    <mergeCell ref="D298:F298"/>
    <mergeCell ref="D299:F299"/>
    <mergeCell ref="D300:F300"/>
    <mergeCell ref="D301:F301"/>
    <mergeCell ref="D291:F291"/>
    <mergeCell ref="D292:F292"/>
    <mergeCell ref="D293:F293"/>
    <mergeCell ref="D308:F308"/>
    <mergeCell ref="D309:F309"/>
    <mergeCell ref="D310:F310"/>
    <mergeCell ref="D311:F311"/>
    <mergeCell ref="D312:F312"/>
    <mergeCell ref="D313:F313"/>
    <mergeCell ref="D302:F302"/>
    <mergeCell ref="D303:F303"/>
    <mergeCell ref="D304:F304"/>
    <mergeCell ref="D305:F305"/>
    <mergeCell ref="D306:F306"/>
    <mergeCell ref="D307:F307"/>
    <mergeCell ref="G320:H320"/>
    <mergeCell ref="D321:F321"/>
    <mergeCell ref="D322:F322"/>
    <mergeCell ref="D314:F314"/>
    <mergeCell ref="D315:F315"/>
    <mergeCell ref="D316:F316"/>
    <mergeCell ref="G316:H316"/>
    <mergeCell ref="D317:F317"/>
    <mergeCell ref="G317:H317"/>
    <mergeCell ref="D323:F323"/>
    <mergeCell ref="D324:F324"/>
    <mergeCell ref="D325:F325"/>
    <mergeCell ref="D326:F326"/>
    <mergeCell ref="D327:F327"/>
    <mergeCell ref="D328:F328"/>
    <mergeCell ref="D318:F318"/>
    <mergeCell ref="D319:F319"/>
    <mergeCell ref="D320:F320"/>
    <mergeCell ref="D335:F335"/>
    <mergeCell ref="D336:F336"/>
    <mergeCell ref="D337:F337"/>
    <mergeCell ref="D338:F338"/>
    <mergeCell ref="D339:F339"/>
    <mergeCell ref="D340:F340"/>
    <mergeCell ref="D329:F329"/>
    <mergeCell ref="D330:F330"/>
    <mergeCell ref="D331:F331"/>
    <mergeCell ref="D332:F332"/>
    <mergeCell ref="D333:F333"/>
    <mergeCell ref="D334:F334"/>
    <mergeCell ref="D345:F345"/>
    <mergeCell ref="D346:F346"/>
    <mergeCell ref="D347:F347"/>
    <mergeCell ref="D348:F348"/>
    <mergeCell ref="D349:F349"/>
    <mergeCell ref="D350:F350"/>
    <mergeCell ref="G340:H340"/>
    <mergeCell ref="D341:F341"/>
    <mergeCell ref="G341:H341"/>
    <mergeCell ref="D342:F342"/>
    <mergeCell ref="D343:F343"/>
    <mergeCell ref="D344:F344"/>
    <mergeCell ref="G344:H344"/>
    <mergeCell ref="D357:F357"/>
    <mergeCell ref="D358:F358"/>
    <mergeCell ref="D359:F359"/>
    <mergeCell ref="D360:F360"/>
    <mergeCell ref="D361:F361"/>
    <mergeCell ref="D362:F362"/>
    <mergeCell ref="D351:F351"/>
    <mergeCell ref="D352:F352"/>
    <mergeCell ref="D353:F353"/>
    <mergeCell ref="D354:F354"/>
    <mergeCell ref="D355:F355"/>
    <mergeCell ref="D356:F356"/>
    <mergeCell ref="D367:F367"/>
    <mergeCell ref="G367:H367"/>
    <mergeCell ref="D368:F368"/>
    <mergeCell ref="D369:F369"/>
    <mergeCell ref="D370:F370"/>
    <mergeCell ref="D371:F371"/>
    <mergeCell ref="D363:F363"/>
    <mergeCell ref="G363:H363"/>
    <mergeCell ref="D364:F364"/>
    <mergeCell ref="G364:H364"/>
    <mergeCell ref="D365:F365"/>
    <mergeCell ref="D366:F366"/>
    <mergeCell ref="D378:F378"/>
    <mergeCell ref="D379:F379"/>
    <mergeCell ref="D380:F380"/>
    <mergeCell ref="D381:F381"/>
    <mergeCell ref="D382:F382"/>
    <mergeCell ref="D383:F383"/>
    <mergeCell ref="D372:F372"/>
    <mergeCell ref="D373:F373"/>
    <mergeCell ref="D374:F374"/>
    <mergeCell ref="D375:F375"/>
    <mergeCell ref="D376:F376"/>
    <mergeCell ref="D377:F377"/>
    <mergeCell ref="D388:F388"/>
    <mergeCell ref="D389:F389"/>
    <mergeCell ref="D390:F390"/>
    <mergeCell ref="G390:H390"/>
    <mergeCell ref="D391:F391"/>
    <mergeCell ref="D392:F392"/>
    <mergeCell ref="D384:F384"/>
    <mergeCell ref="D385:F385"/>
    <mergeCell ref="D386:F386"/>
    <mergeCell ref="G386:H386"/>
    <mergeCell ref="D387:F387"/>
    <mergeCell ref="G387:H387"/>
    <mergeCell ref="D399:F399"/>
    <mergeCell ref="D400:F400"/>
    <mergeCell ref="D401:F401"/>
    <mergeCell ref="D402:F402"/>
    <mergeCell ref="D403:F403"/>
    <mergeCell ref="D404:F404"/>
    <mergeCell ref="D393:F393"/>
    <mergeCell ref="D394:F394"/>
    <mergeCell ref="D395:F395"/>
    <mergeCell ref="D396:F396"/>
    <mergeCell ref="D397:F397"/>
    <mergeCell ref="D398:F398"/>
    <mergeCell ref="D409:F409"/>
    <mergeCell ref="G409:H409"/>
    <mergeCell ref="D410:F410"/>
    <mergeCell ref="D411:F411"/>
    <mergeCell ref="D412:F412"/>
    <mergeCell ref="D413:F413"/>
    <mergeCell ref="D405:F405"/>
    <mergeCell ref="G405:H405"/>
    <mergeCell ref="D406:F406"/>
    <mergeCell ref="G406:H406"/>
    <mergeCell ref="D407:F407"/>
    <mergeCell ref="D408:F408"/>
    <mergeCell ref="D420:F420"/>
    <mergeCell ref="D421:F421"/>
    <mergeCell ref="D422:F422"/>
    <mergeCell ref="D423:F423"/>
    <mergeCell ref="D424:F424"/>
    <mergeCell ref="D425:F425"/>
    <mergeCell ref="D414:F414"/>
    <mergeCell ref="D415:F415"/>
    <mergeCell ref="D416:F416"/>
    <mergeCell ref="D417:F417"/>
    <mergeCell ref="D418:F418"/>
    <mergeCell ref="D419:F419"/>
    <mergeCell ref="D432:F432"/>
    <mergeCell ref="D433:F433"/>
    <mergeCell ref="G433:H433"/>
    <mergeCell ref="H434:J434"/>
    <mergeCell ref="H435:J435"/>
    <mergeCell ref="H440:J440"/>
    <mergeCell ref="D426:F426"/>
    <mergeCell ref="D427:F427"/>
    <mergeCell ref="D428:F428"/>
    <mergeCell ref="D429:F429"/>
    <mergeCell ref="D430:F430"/>
    <mergeCell ref="D431:F431"/>
    <mergeCell ref="N14:P14"/>
    <mergeCell ref="Q14:R14"/>
    <mergeCell ref="N15:P15"/>
    <mergeCell ref="Q15:R15"/>
    <mergeCell ref="N16:P16"/>
    <mergeCell ref="N17:P17"/>
    <mergeCell ref="L1:T1"/>
    <mergeCell ref="L2:T2"/>
    <mergeCell ref="L3:T3"/>
    <mergeCell ref="M12:M13"/>
    <mergeCell ref="N12:P13"/>
    <mergeCell ref="Q12:R13"/>
    <mergeCell ref="N24:P24"/>
    <mergeCell ref="N26:P26"/>
    <mergeCell ref="N27:P27"/>
    <mergeCell ref="N28:P28"/>
    <mergeCell ref="N29:P29"/>
    <mergeCell ref="N30:P30"/>
    <mergeCell ref="N18:P18"/>
    <mergeCell ref="N19:P19"/>
    <mergeCell ref="N20:P20"/>
    <mergeCell ref="N21:P21"/>
    <mergeCell ref="N22:P22"/>
    <mergeCell ref="N23:P23"/>
    <mergeCell ref="N37:P37"/>
    <mergeCell ref="N38:P38"/>
    <mergeCell ref="N39:P39"/>
    <mergeCell ref="N40:P40"/>
    <mergeCell ref="N41:P41"/>
    <mergeCell ref="N42:P42"/>
    <mergeCell ref="N31:P31"/>
    <mergeCell ref="N32:P32"/>
    <mergeCell ref="N33:P33"/>
    <mergeCell ref="N34:P34"/>
    <mergeCell ref="N35:P35"/>
    <mergeCell ref="N36:P36"/>
    <mergeCell ref="N49:P49"/>
    <mergeCell ref="Q49:R49"/>
    <mergeCell ref="R50:T50"/>
    <mergeCell ref="N52:P52"/>
    <mergeCell ref="Q71:R71"/>
    <mergeCell ref="N72:P72"/>
    <mergeCell ref="N73:P73"/>
    <mergeCell ref="Q73:R73"/>
    <mergeCell ref="N43:P43"/>
    <mergeCell ref="N44:P44"/>
    <mergeCell ref="N45:P45"/>
    <mergeCell ref="N46:P46"/>
    <mergeCell ref="N47:P47"/>
    <mergeCell ref="N48:P48"/>
    <mergeCell ref="N74:P74"/>
    <mergeCell ref="N75:P75"/>
    <mergeCell ref="N76:P76"/>
    <mergeCell ref="N77:P77"/>
    <mergeCell ref="N78:P78"/>
    <mergeCell ref="N79:P79"/>
    <mergeCell ref="L58:T58"/>
    <mergeCell ref="L59:T59"/>
    <mergeCell ref="L60:T60"/>
    <mergeCell ref="O63:S63"/>
    <mergeCell ref="M69:M70"/>
    <mergeCell ref="N69:P70"/>
    <mergeCell ref="Q69:R70"/>
    <mergeCell ref="N71:P71"/>
    <mergeCell ref="N86:P86"/>
    <mergeCell ref="N87:P87"/>
    <mergeCell ref="N88:P88"/>
    <mergeCell ref="N89:P89"/>
    <mergeCell ref="N90:P90"/>
    <mergeCell ref="N91:P91"/>
    <mergeCell ref="N80:P80"/>
    <mergeCell ref="N81:P81"/>
    <mergeCell ref="N82:P82"/>
    <mergeCell ref="N83:P83"/>
    <mergeCell ref="N84:P84"/>
    <mergeCell ref="N85:P85"/>
    <mergeCell ref="M107:U107"/>
    <mergeCell ref="M108:U108"/>
    <mergeCell ref="P111:T111"/>
    <mergeCell ref="N117:N118"/>
    <mergeCell ref="R117:S118"/>
    <mergeCell ref="O119:Q119"/>
    <mergeCell ref="R119:S119"/>
    <mergeCell ref="N92:P92"/>
    <mergeCell ref="Q92:R92"/>
    <mergeCell ref="R93:T93"/>
    <mergeCell ref="R94:T94"/>
    <mergeCell ref="R99:T99"/>
    <mergeCell ref="M106:U106"/>
    <mergeCell ref="O124:Q124"/>
    <mergeCell ref="O125:Q125"/>
    <mergeCell ref="O126:Q126"/>
    <mergeCell ref="O127:Q127"/>
    <mergeCell ref="O128:Q128"/>
    <mergeCell ref="O129:Q129"/>
    <mergeCell ref="O120:Q120"/>
    <mergeCell ref="R120:S120"/>
    <mergeCell ref="O121:Q121"/>
    <mergeCell ref="O122:Q122"/>
    <mergeCell ref="O123:Q123"/>
    <mergeCell ref="R123:S123"/>
    <mergeCell ref="O136:Q136"/>
    <mergeCell ref="O137:Q137"/>
    <mergeCell ref="O138:Q138"/>
    <mergeCell ref="O139:Q139"/>
    <mergeCell ref="S140:U140"/>
    <mergeCell ref="S145:U145"/>
    <mergeCell ref="O130:Q130"/>
    <mergeCell ref="O131:Q131"/>
    <mergeCell ref="O132:Q132"/>
    <mergeCell ref="O133:Q133"/>
    <mergeCell ref="O134:Q134"/>
    <mergeCell ref="O135:Q135"/>
  </mergeCells>
  <pageMargins left="1.2" right="0.7" top="0.75" bottom="0.75" header="0.3" footer="0.3"/>
  <pageSetup paperSize="256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selection activeCell="H23" sqref="H23"/>
    </sheetView>
  </sheetViews>
  <sheetFormatPr defaultRowHeight="18" customHeight="1"/>
  <cols>
    <col min="1" max="1" width="3.42578125" customWidth="1"/>
    <col min="2" max="2" width="2" customWidth="1"/>
    <col min="3" max="4" width="1.42578125" customWidth="1"/>
    <col min="5" max="5" width="1.140625" customWidth="1"/>
    <col min="6" max="6" width="25.28515625" customWidth="1"/>
    <col min="7" max="7" width="11.42578125" customWidth="1"/>
    <col min="9" max="9" width="12.140625" customWidth="1"/>
    <col min="10" max="10" width="11.28515625" customWidth="1"/>
    <col min="11" max="11" width="11.42578125" customWidth="1"/>
  </cols>
  <sheetData>
    <row r="1" spans="1:11" ht="18" customHeight="1">
      <c r="A1" s="689"/>
      <c r="B1" s="689"/>
      <c r="C1" s="689"/>
      <c r="D1" s="689"/>
      <c r="E1" s="1036" t="s">
        <v>1010</v>
      </c>
      <c r="F1" s="1036"/>
      <c r="G1" s="1036"/>
      <c r="H1" s="1036"/>
      <c r="I1" s="1036"/>
      <c r="J1" s="1036"/>
      <c r="K1" s="1036"/>
    </row>
    <row r="2" spans="1:11" ht="18" customHeight="1">
      <c r="A2" s="689"/>
      <c r="B2" s="689"/>
      <c r="C2" s="689"/>
      <c r="D2" s="689"/>
      <c r="E2" s="1036" t="s">
        <v>613</v>
      </c>
      <c r="F2" s="1036"/>
      <c r="G2" s="1036"/>
      <c r="H2" s="1036"/>
      <c r="I2" s="1036"/>
      <c r="J2" s="1036"/>
      <c r="K2" s="1036"/>
    </row>
    <row r="3" spans="1:11" ht="18" customHeight="1">
      <c r="A3" s="689"/>
      <c r="B3" s="689"/>
      <c r="C3" s="689"/>
      <c r="D3" s="689"/>
      <c r="E3" s="1036" t="s">
        <v>914</v>
      </c>
      <c r="F3" s="1036"/>
      <c r="G3" s="1036"/>
      <c r="H3" s="1036"/>
      <c r="I3" s="1036"/>
      <c r="J3" s="1036"/>
      <c r="K3" s="1036"/>
    </row>
    <row r="4" spans="1:11" ht="18" customHeight="1">
      <c r="A4" s="689"/>
      <c r="B4" s="689"/>
      <c r="C4" s="689"/>
      <c r="D4" s="689"/>
      <c r="E4" s="1036" t="s">
        <v>1008</v>
      </c>
      <c r="F4" s="1036"/>
      <c r="G4" s="1036"/>
      <c r="H4" s="1036"/>
      <c r="I4" s="1036"/>
      <c r="J4" s="1036"/>
      <c r="K4" s="1036"/>
    </row>
    <row r="5" spans="1:11" ht="18" customHeight="1">
      <c r="A5" s="689"/>
      <c r="B5" s="689"/>
      <c r="C5" s="689"/>
      <c r="D5" s="689"/>
      <c r="E5" s="689"/>
      <c r="F5" s="731"/>
      <c r="G5" s="691"/>
      <c r="H5" s="692"/>
      <c r="I5" s="691"/>
      <c r="J5" s="691"/>
      <c r="K5" s="691"/>
    </row>
    <row r="6" spans="1:11" ht="36.75" customHeight="1">
      <c r="A6" s="1038" t="s">
        <v>614</v>
      </c>
      <c r="B6" s="1039"/>
      <c r="C6" s="1039"/>
      <c r="D6" s="1039"/>
      <c r="E6" s="1040"/>
      <c r="F6" s="693" t="s">
        <v>0</v>
      </c>
      <c r="G6" s="694" t="s">
        <v>606</v>
      </c>
      <c r="H6" s="695" t="s">
        <v>607</v>
      </c>
      <c r="I6" s="695" t="s">
        <v>608</v>
      </c>
      <c r="J6" s="694" t="s">
        <v>609</v>
      </c>
      <c r="K6" s="694" t="s">
        <v>610</v>
      </c>
    </row>
    <row r="7" spans="1:11" ht="15" customHeight="1">
      <c r="A7" s="1038">
        <v>1</v>
      </c>
      <c r="B7" s="1039"/>
      <c r="C7" s="1039"/>
      <c r="D7" s="1039"/>
      <c r="E7" s="1040"/>
      <c r="F7" s="693">
        <v>2</v>
      </c>
      <c r="G7" s="696">
        <v>3</v>
      </c>
      <c r="H7" s="695">
        <v>4</v>
      </c>
      <c r="I7" s="696">
        <v>5</v>
      </c>
      <c r="J7" s="693">
        <v>6</v>
      </c>
      <c r="K7" s="696">
        <v>7</v>
      </c>
    </row>
    <row r="8" spans="1:11" ht="31.5" customHeight="1">
      <c r="A8" s="697">
        <v>2</v>
      </c>
      <c r="B8" s="697">
        <v>1</v>
      </c>
      <c r="C8" s="697"/>
      <c r="D8" s="697"/>
      <c r="E8" s="697"/>
      <c r="F8" s="732" t="s">
        <v>20</v>
      </c>
      <c r="G8" s="698">
        <v>446207608</v>
      </c>
      <c r="H8" s="715">
        <v>0</v>
      </c>
      <c r="I8" s="787">
        <v>177774531</v>
      </c>
      <c r="J8" s="787">
        <f>SUM(H8+I8)</f>
        <v>177774531</v>
      </c>
      <c r="K8" s="787">
        <f>SUM(G8-J8)</f>
        <v>268433077</v>
      </c>
    </row>
    <row r="9" spans="1:11" ht="27" customHeight="1">
      <c r="A9" s="697">
        <v>2</v>
      </c>
      <c r="B9" s="697">
        <v>2</v>
      </c>
      <c r="C9" s="697"/>
      <c r="D9" s="697"/>
      <c r="E9" s="697"/>
      <c r="F9" s="732" t="s">
        <v>36</v>
      </c>
      <c r="G9" s="715">
        <v>747246772</v>
      </c>
      <c r="H9" s="715">
        <v>0</v>
      </c>
      <c r="I9" s="715">
        <v>101816900</v>
      </c>
      <c r="J9" s="787">
        <f t="shared" ref="J9:J12" si="0">SUM(H9+I9)</f>
        <v>101816900</v>
      </c>
      <c r="K9" s="787">
        <f t="shared" ref="K9:K11" si="1">SUM(G9-J9)</f>
        <v>645429872</v>
      </c>
    </row>
    <row r="10" spans="1:11" ht="27.75" customHeight="1">
      <c r="A10" s="697">
        <v>2</v>
      </c>
      <c r="B10" s="697">
        <v>3</v>
      </c>
      <c r="C10" s="697"/>
      <c r="D10" s="697"/>
      <c r="E10" s="697"/>
      <c r="F10" s="732" t="s">
        <v>38</v>
      </c>
      <c r="G10" s="715">
        <v>97851820</v>
      </c>
      <c r="H10" s="715">
        <v>0</v>
      </c>
      <c r="I10" s="715">
        <v>12476000</v>
      </c>
      <c r="J10" s="787">
        <f t="shared" si="0"/>
        <v>12476000</v>
      </c>
      <c r="K10" s="787">
        <f t="shared" si="1"/>
        <v>85375820</v>
      </c>
    </row>
    <row r="11" spans="1:11" ht="25.5" customHeight="1">
      <c r="A11" s="697">
        <v>2</v>
      </c>
      <c r="B11" s="697">
        <v>4</v>
      </c>
      <c r="C11" s="697"/>
      <c r="D11" s="697"/>
      <c r="E11" s="697"/>
      <c r="F11" s="732" t="s">
        <v>40</v>
      </c>
      <c r="G11" s="715">
        <v>219003500</v>
      </c>
      <c r="H11" s="715">
        <v>0</v>
      </c>
      <c r="I11" s="715">
        <v>48645000</v>
      </c>
      <c r="J11" s="787">
        <f t="shared" si="0"/>
        <v>48645000</v>
      </c>
      <c r="K11" s="787">
        <f t="shared" si="1"/>
        <v>170358500</v>
      </c>
    </row>
    <row r="12" spans="1:11" ht="18" customHeight="1">
      <c r="A12" s="724">
        <v>2</v>
      </c>
      <c r="B12" s="724">
        <v>5</v>
      </c>
      <c r="C12" s="724"/>
      <c r="D12" s="724"/>
      <c r="E12" s="724"/>
      <c r="F12" s="740" t="s">
        <v>42</v>
      </c>
      <c r="G12" s="715">
        <f>SUM(G13)</f>
        <v>0</v>
      </c>
      <c r="H12" s="701"/>
      <c r="I12" s="701"/>
      <c r="J12" s="787">
        <f t="shared" si="0"/>
        <v>0</v>
      </c>
      <c r="K12" s="787">
        <f t="shared" ref="K12" si="2">SUM(G12-J12)</f>
        <v>0</v>
      </c>
    </row>
    <row r="13" spans="1:11" ht="18" customHeight="1">
      <c r="A13" s="722"/>
      <c r="B13" s="722"/>
      <c r="C13" s="722"/>
      <c r="D13" s="708"/>
      <c r="E13" s="708"/>
      <c r="F13" s="780"/>
      <c r="G13" s="718"/>
      <c r="H13" s="702"/>
      <c r="I13" s="706"/>
      <c r="J13" s="710"/>
      <c r="K13" s="781">
        <f>SUM(G13-J13)</f>
        <v>0</v>
      </c>
    </row>
    <row r="14" spans="1:11" ht="18" customHeight="1">
      <c r="A14" s="725"/>
      <c r="B14" s="725"/>
      <c r="C14" s="725"/>
      <c r="D14" s="725"/>
      <c r="E14" s="725"/>
      <c r="F14" s="743" t="s">
        <v>59</v>
      </c>
      <c r="G14" s="726">
        <f>SUM(G8:G12)</f>
        <v>1510309700</v>
      </c>
      <c r="H14" s="715">
        <f>SUM(H8+H9+H10+H11+H12)</f>
        <v>0</v>
      </c>
      <c r="I14" s="788">
        <f>SUM(I8:I12)</f>
        <v>340712431</v>
      </c>
      <c r="J14" s="788">
        <f>SUM(H14:I14)</f>
        <v>340712431</v>
      </c>
      <c r="K14" s="788">
        <f>SUM(G14-J14)</f>
        <v>1169597269</v>
      </c>
    </row>
    <row r="15" spans="1:11" ht="18" customHeight="1">
      <c r="A15" s="689"/>
      <c r="B15" s="689"/>
      <c r="C15" s="689"/>
      <c r="D15" s="689"/>
      <c r="E15" s="689"/>
      <c r="F15" s="741"/>
      <c r="G15" s="691"/>
      <c r="H15" s="692"/>
      <c r="I15" s="1037" t="s">
        <v>1009</v>
      </c>
      <c r="J15" s="1037"/>
      <c r="K15" s="1037"/>
    </row>
    <row r="16" spans="1:11" ht="18" customHeight="1">
      <c r="A16" s="689"/>
      <c r="B16" s="689"/>
      <c r="C16" s="689"/>
      <c r="D16" s="689"/>
      <c r="E16" s="689"/>
      <c r="F16" s="1041" t="s">
        <v>611</v>
      </c>
      <c r="G16" s="1041"/>
      <c r="H16" s="692"/>
      <c r="I16" s="1037"/>
      <c r="J16" s="1037"/>
      <c r="K16" s="1037"/>
    </row>
    <row r="17" spans="1:11" ht="18" customHeight="1">
      <c r="A17" s="689"/>
      <c r="B17" s="689"/>
      <c r="C17" s="689"/>
      <c r="D17" s="689"/>
      <c r="E17" s="689"/>
      <c r="F17" s="1041" t="s">
        <v>181</v>
      </c>
      <c r="G17" s="1041"/>
      <c r="H17" s="692"/>
      <c r="I17" s="1037" t="s">
        <v>182</v>
      </c>
      <c r="J17" s="1037"/>
      <c r="K17" s="1037"/>
    </row>
    <row r="18" spans="1:11" ht="18" customHeight="1">
      <c r="A18" s="689"/>
      <c r="B18" s="689"/>
      <c r="C18" s="689"/>
      <c r="D18" s="689"/>
      <c r="E18" s="689"/>
      <c r="F18" s="741"/>
      <c r="G18" s="779"/>
      <c r="H18" s="692"/>
      <c r="I18" s="691"/>
      <c r="J18" s="691"/>
      <c r="K18" s="691"/>
    </row>
    <row r="19" spans="1:11" ht="18" customHeight="1">
      <c r="A19" s="689"/>
      <c r="B19" s="689"/>
      <c r="C19" s="689"/>
      <c r="D19" s="689"/>
      <c r="E19" s="689"/>
      <c r="F19" s="741"/>
      <c r="G19" s="691"/>
      <c r="H19" s="692"/>
      <c r="I19" s="691"/>
      <c r="J19" s="691"/>
      <c r="K19" s="691"/>
    </row>
    <row r="20" spans="1:11" ht="18" customHeight="1">
      <c r="A20" s="689"/>
      <c r="B20" s="689"/>
      <c r="C20" s="689"/>
      <c r="D20" s="689"/>
      <c r="E20" s="689"/>
      <c r="F20" s="1042" t="s">
        <v>115</v>
      </c>
      <c r="G20" s="1042"/>
      <c r="H20" s="729"/>
      <c r="I20" s="1043" t="s">
        <v>615</v>
      </c>
      <c r="J20" s="1043"/>
      <c r="K20" s="1043"/>
    </row>
    <row r="21" spans="1:11" ht="18" customHeight="1">
      <c r="A21" s="689"/>
      <c r="B21" s="689"/>
      <c r="C21" s="689"/>
      <c r="D21" s="689"/>
      <c r="E21" s="689"/>
      <c r="F21" s="1041" t="s">
        <v>612</v>
      </c>
      <c r="G21" s="1041"/>
      <c r="H21" s="1041"/>
      <c r="I21" s="1041"/>
      <c r="J21" s="1041"/>
      <c r="K21" s="1041"/>
    </row>
    <row r="22" spans="1:11" ht="18" customHeight="1">
      <c r="A22" s="689"/>
      <c r="B22" s="689"/>
      <c r="C22" s="689"/>
      <c r="D22" s="689"/>
      <c r="E22" s="689"/>
      <c r="F22" s="1041" t="s">
        <v>71</v>
      </c>
      <c r="G22" s="1041"/>
      <c r="H22" s="1041"/>
      <c r="I22" s="1041"/>
      <c r="J22" s="1041"/>
      <c r="K22" s="1041"/>
    </row>
    <row r="23" spans="1:11" ht="18" customHeight="1">
      <c r="A23" s="689"/>
      <c r="B23" s="689"/>
      <c r="C23" s="689"/>
      <c r="D23" s="689"/>
      <c r="E23" s="689"/>
      <c r="F23" s="741"/>
      <c r="G23" s="779"/>
      <c r="H23" s="730"/>
      <c r="I23" s="779"/>
      <c r="J23" s="779"/>
      <c r="K23" s="779"/>
    </row>
    <row r="24" spans="1:11" ht="18" customHeight="1">
      <c r="A24" s="689"/>
      <c r="B24" s="689"/>
      <c r="C24" s="689"/>
      <c r="D24" s="689"/>
      <c r="E24" s="689"/>
      <c r="F24" s="741"/>
      <c r="G24" s="779"/>
      <c r="H24" s="730"/>
      <c r="I24" s="779"/>
      <c r="J24" s="779"/>
      <c r="K24" s="779"/>
    </row>
    <row r="25" spans="1:11" ht="18" customHeight="1">
      <c r="A25" s="689"/>
      <c r="B25" s="689"/>
      <c r="C25" s="689"/>
      <c r="D25" s="689"/>
      <c r="E25" s="689"/>
      <c r="F25" s="1036" t="s">
        <v>51</v>
      </c>
      <c r="G25" s="1036"/>
      <c r="H25" s="1036"/>
      <c r="I25" s="1036"/>
      <c r="J25" s="1036"/>
      <c r="K25" s="1036"/>
    </row>
  </sheetData>
  <mergeCells count="16">
    <mergeCell ref="A7:E7"/>
    <mergeCell ref="E1:K1"/>
    <mergeCell ref="E2:K2"/>
    <mergeCell ref="E3:K3"/>
    <mergeCell ref="E4:K4"/>
    <mergeCell ref="A6:E6"/>
    <mergeCell ref="F21:K21"/>
    <mergeCell ref="F22:K22"/>
    <mergeCell ref="F25:K25"/>
    <mergeCell ref="I15:K15"/>
    <mergeCell ref="F16:G16"/>
    <mergeCell ref="I16:K16"/>
    <mergeCell ref="F17:G17"/>
    <mergeCell ref="I17:K17"/>
    <mergeCell ref="F20:G20"/>
    <mergeCell ref="I20:K20"/>
  </mergeCells>
  <pageMargins left="0.95" right="0.45" top="0.75" bottom="0.75" header="0.3" footer="0.3"/>
  <pageSetup paperSize="256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O195"/>
  <sheetViews>
    <sheetView topLeftCell="A51" zoomScale="85" zoomScaleNormal="85" workbookViewId="0">
      <selection activeCell="N50" sqref="N50"/>
    </sheetView>
  </sheetViews>
  <sheetFormatPr defaultRowHeight="18" customHeight="1"/>
  <cols>
    <col min="1" max="1" width="3" style="2" customWidth="1"/>
    <col min="2" max="3" width="4.7109375" style="3" customWidth="1"/>
    <col min="4" max="4" width="4.5703125" style="3" customWidth="1"/>
    <col min="5" max="6" width="3.85546875" style="3" customWidth="1"/>
    <col min="7" max="7" width="43.5703125" style="2" customWidth="1"/>
    <col min="8" max="8" width="17" style="4" customWidth="1"/>
    <col min="9" max="9" width="15.28515625" style="3" customWidth="1"/>
    <col min="10" max="10" width="9.140625" style="2"/>
    <col min="11" max="11" width="19.7109375" style="2" customWidth="1"/>
    <col min="12" max="12" width="16.42578125" style="2" customWidth="1"/>
    <col min="13" max="13" width="32" style="2" customWidth="1"/>
    <col min="14" max="14" width="14.28515625" style="2" bestFit="1" customWidth="1"/>
    <col min="15" max="16384" width="9.140625" style="2"/>
  </cols>
  <sheetData>
    <row r="1" spans="1:10" ht="18" customHeight="1">
      <c r="A1" s="1"/>
      <c r="B1" s="1" t="s">
        <v>117</v>
      </c>
      <c r="C1" s="1"/>
      <c r="D1" s="1"/>
      <c r="E1" s="1"/>
      <c r="F1" s="1"/>
      <c r="G1" s="1"/>
      <c r="H1" s="1"/>
      <c r="I1" s="1"/>
    </row>
    <row r="2" spans="1:10" ht="18" customHeight="1">
      <c r="A2" s="1"/>
      <c r="B2" s="1" t="s">
        <v>118</v>
      </c>
      <c r="C2" s="1"/>
      <c r="D2" s="1"/>
      <c r="E2" s="1"/>
      <c r="F2" s="1"/>
      <c r="G2" s="1" t="s">
        <v>935</v>
      </c>
      <c r="H2" s="1"/>
      <c r="I2" s="1"/>
    </row>
    <row r="3" spans="1:10" ht="18" customHeight="1">
      <c r="A3" s="1"/>
      <c r="B3" s="1" t="s">
        <v>119</v>
      </c>
      <c r="C3" s="1"/>
      <c r="D3" s="1"/>
      <c r="E3" s="1"/>
      <c r="F3" s="1"/>
      <c r="G3" s="1" t="s">
        <v>983</v>
      </c>
      <c r="H3" s="1"/>
      <c r="I3" s="1"/>
    </row>
    <row r="4" spans="1:10" ht="18" customHeight="1">
      <c r="A4" s="1"/>
      <c r="B4" s="1" t="s">
        <v>120</v>
      </c>
      <c r="C4" s="1"/>
      <c r="D4" s="1"/>
      <c r="E4" s="1"/>
      <c r="F4" s="1"/>
      <c r="G4" s="1" t="s">
        <v>121</v>
      </c>
      <c r="H4" s="1"/>
      <c r="I4" s="1"/>
    </row>
    <row r="5" spans="1:10" ht="7.5" customHeight="1"/>
    <row r="6" spans="1:10" ht="18" customHeight="1">
      <c r="A6" s="317"/>
      <c r="B6" s="798" t="s">
        <v>122</v>
      </c>
      <c r="C6" s="799"/>
      <c r="D6" s="799"/>
      <c r="E6" s="799"/>
      <c r="F6" s="800"/>
      <c r="G6" s="806" t="s">
        <v>0</v>
      </c>
      <c r="H6" s="808" t="s">
        <v>123</v>
      </c>
      <c r="I6" s="806" t="s">
        <v>1</v>
      </c>
    </row>
    <row r="7" spans="1:10" ht="18" customHeight="1">
      <c r="A7" s="317"/>
      <c r="B7" s="801"/>
      <c r="C7" s="802"/>
      <c r="D7" s="802"/>
      <c r="E7" s="802"/>
      <c r="F7" s="803"/>
      <c r="G7" s="807"/>
      <c r="H7" s="809"/>
      <c r="I7" s="807"/>
      <c r="J7" s="2" t="s">
        <v>124</v>
      </c>
    </row>
    <row r="8" spans="1:10" ht="18" customHeight="1">
      <c r="A8" s="317"/>
      <c r="B8" s="795">
        <v>1</v>
      </c>
      <c r="C8" s="796"/>
      <c r="D8" s="796"/>
      <c r="E8" s="796"/>
      <c r="F8" s="797"/>
      <c r="G8" s="10">
        <v>2</v>
      </c>
      <c r="H8" s="641">
        <v>3</v>
      </c>
      <c r="I8" s="10">
        <v>4</v>
      </c>
    </row>
    <row r="9" spans="1:10" ht="18" customHeight="1">
      <c r="A9" s="317"/>
      <c r="B9" s="9">
        <v>1</v>
      </c>
      <c r="C9" s="9"/>
      <c r="D9" s="9"/>
      <c r="E9" s="9"/>
      <c r="F9" s="9"/>
      <c r="G9" s="343" t="s">
        <v>2</v>
      </c>
      <c r="H9" s="433">
        <f>SUM(H10+H25+H38)</f>
        <v>1510309700</v>
      </c>
      <c r="I9" s="9"/>
    </row>
    <row r="10" spans="1:10" ht="18" customHeight="1">
      <c r="A10" s="317"/>
      <c r="B10" s="9">
        <v>1</v>
      </c>
      <c r="C10" s="9">
        <v>1</v>
      </c>
      <c r="D10" s="9"/>
      <c r="E10" s="9"/>
      <c r="F10" s="9"/>
      <c r="G10" s="343" t="s">
        <v>3</v>
      </c>
      <c r="H10" s="433">
        <f>SUM(H11+H14+H20+H22)</f>
        <v>103300000</v>
      </c>
      <c r="I10" s="9"/>
    </row>
    <row r="11" spans="1:10" ht="18" customHeight="1">
      <c r="A11" s="317"/>
      <c r="B11" s="9">
        <v>1</v>
      </c>
      <c r="C11" s="9">
        <v>1</v>
      </c>
      <c r="D11" s="9">
        <v>1</v>
      </c>
      <c r="E11" s="9"/>
      <c r="F11" s="9"/>
      <c r="G11" s="343" t="s">
        <v>4</v>
      </c>
      <c r="H11" s="433">
        <f>SUM(H12:H13)</f>
        <v>26800000</v>
      </c>
      <c r="I11" s="9"/>
    </row>
    <row r="12" spans="1:10" ht="18" customHeight="1">
      <c r="A12" s="317"/>
      <c r="B12" s="10">
        <v>1</v>
      </c>
      <c r="C12" s="10">
        <v>1</v>
      </c>
      <c r="D12" s="10">
        <v>1</v>
      </c>
      <c r="E12" s="10">
        <v>1</v>
      </c>
      <c r="F12" s="10"/>
      <c r="G12" s="75" t="s">
        <v>645</v>
      </c>
      <c r="H12" s="180">
        <v>13200000</v>
      </c>
      <c r="I12" s="10" t="s">
        <v>657</v>
      </c>
    </row>
    <row r="13" spans="1:10" ht="18" customHeight="1">
      <c r="A13" s="317"/>
      <c r="B13" s="10">
        <v>1</v>
      </c>
      <c r="C13" s="10">
        <v>1</v>
      </c>
      <c r="D13" s="10">
        <v>1</v>
      </c>
      <c r="E13" s="10">
        <v>2</v>
      </c>
      <c r="F13" s="10"/>
      <c r="G13" s="75" t="s">
        <v>646</v>
      </c>
      <c r="H13" s="180">
        <v>13600000</v>
      </c>
      <c r="I13" s="10"/>
    </row>
    <row r="14" spans="1:10" ht="18" customHeight="1">
      <c r="A14" s="317"/>
      <c r="B14" s="9">
        <v>1</v>
      </c>
      <c r="C14" s="9">
        <v>1</v>
      </c>
      <c r="D14" s="9">
        <v>2</v>
      </c>
      <c r="E14" s="9"/>
      <c r="F14" s="9"/>
      <c r="G14" s="343" t="s">
        <v>647</v>
      </c>
      <c r="H14" s="642">
        <f>SUM(H15:H19)</f>
        <v>76500000</v>
      </c>
      <c r="I14" s="9"/>
    </row>
    <row r="15" spans="1:10" ht="18" customHeight="1">
      <c r="A15" s="317"/>
      <c r="B15" s="10">
        <v>1</v>
      </c>
      <c r="C15" s="10">
        <v>1</v>
      </c>
      <c r="D15" s="10">
        <v>2</v>
      </c>
      <c r="E15" s="10">
        <v>1</v>
      </c>
      <c r="F15" s="10"/>
      <c r="G15" s="75" t="s">
        <v>648</v>
      </c>
      <c r="H15" s="180" t="s">
        <v>6</v>
      </c>
      <c r="I15" s="10"/>
    </row>
    <row r="16" spans="1:10" ht="18" customHeight="1">
      <c r="A16" s="317"/>
      <c r="B16" s="10">
        <v>1</v>
      </c>
      <c r="C16" s="10">
        <v>1</v>
      </c>
      <c r="D16" s="10">
        <v>2</v>
      </c>
      <c r="E16" s="10">
        <v>2</v>
      </c>
      <c r="F16" s="10"/>
      <c r="G16" s="75" t="s">
        <v>5</v>
      </c>
      <c r="H16" s="180">
        <v>45000000</v>
      </c>
      <c r="I16" s="10"/>
    </row>
    <row r="17" spans="1:13" ht="18" customHeight="1">
      <c r="A17" s="317"/>
      <c r="B17" s="10">
        <v>1</v>
      </c>
      <c r="C17" s="10">
        <v>1</v>
      </c>
      <c r="D17" s="10">
        <v>2</v>
      </c>
      <c r="E17" s="10">
        <v>3</v>
      </c>
      <c r="F17" s="10"/>
      <c r="G17" s="75" t="s">
        <v>649</v>
      </c>
      <c r="H17" s="180"/>
      <c r="I17" s="10"/>
    </row>
    <row r="18" spans="1:13" ht="18" customHeight="1">
      <c r="A18" s="317"/>
      <c r="B18" s="10">
        <v>1</v>
      </c>
      <c r="C18" s="10">
        <v>1</v>
      </c>
      <c r="D18" s="10">
        <v>2</v>
      </c>
      <c r="E18" s="10">
        <v>4</v>
      </c>
      <c r="F18" s="10"/>
      <c r="G18" s="75" t="s">
        <v>650</v>
      </c>
      <c r="H18" s="180"/>
      <c r="I18" s="10"/>
    </row>
    <row r="19" spans="1:13" ht="35.25" customHeight="1">
      <c r="A19" s="317"/>
      <c r="B19" s="10">
        <v>1</v>
      </c>
      <c r="C19" s="10">
        <v>1</v>
      </c>
      <c r="D19" s="10">
        <v>2</v>
      </c>
      <c r="E19" s="10">
        <v>5</v>
      </c>
      <c r="F19" s="10"/>
      <c r="G19" s="75" t="s">
        <v>651</v>
      </c>
      <c r="H19" s="180">
        <v>31500000</v>
      </c>
      <c r="I19" s="10"/>
    </row>
    <row r="20" spans="1:13" ht="36.75" customHeight="1">
      <c r="A20" s="317"/>
      <c r="B20" s="9">
        <v>1</v>
      </c>
      <c r="C20" s="9">
        <v>1</v>
      </c>
      <c r="D20" s="9">
        <v>3</v>
      </c>
      <c r="E20" s="10"/>
      <c r="F20" s="10"/>
      <c r="G20" s="343" t="s">
        <v>652</v>
      </c>
      <c r="H20" s="433">
        <f>SUM(H21:H22)</f>
        <v>0</v>
      </c>
      <c r="I20" s="10"/>
    </row>
    <row r="21" spans="1:13" ht="18" customHeight="1">
      <c r="A21" s="317"/>
      <c r="B21" s="10">
        <v>1</v>
      </c>
      <c r="C21" s="10">
        <v>1</v>
      </c>
      <c r="D21" s="10">
        <v>3</v>
      </c>
      <c r="E21" s="10">
        <v>1</v>
      </c>
      <c r="F21" s="10"/>
      <c r="G21" s="75" t="s">
        <v>653</v>
      </c>
      <c r="H21" s="180"/>
      <c r="I21" s="10"/>
    </row>
    <row r="22" spans="1:13" ht="32.25" customHeight="1">
      <c r="A22" s="317"/>
      <c r="B22" s="9">
        <v>1</v>
      </c>
      <c r="C22" s="9">
        <v>1</v>
      </c>
      <c r="D22" s="9">
        <v>4</v>
      </c>
      <c r="E22" s="9"/>
      <c r="F22" s="9"/>
      <c r="G22" s="343" t="s">
        <v>654</v>
      </c>
      <c r="H22" s="271">
        <f>SUM(H23:H24)</f>
        <v>0</v>
      </c>
      <c r="I22" s="9"/>
    </row>
    <row r="23" spans="1:13" ht="18" customHeight="1">
      <c r="A23" s="317"/>
      <c r="B23" s="10">
        <v>1</v>
      </c>
      <c r="C23" s="10">
        <v>1</v>
      </c>
      <c r="D23" s="10">
        <v>4</v>
      </c>
      <c r="E23" s="10">
        <v>1</v>
      </c>
      <c r="F23" s="10"/>
      <c r="G23" s="75" t="s">
        <v>655</v>
      </c>
      <c r="H23" s="342"/>
      <c r="I23" s="9"/>
    </row>
    <row r="24" spans="1:13" ht="18" customHeight="1">
      <c r="A24" s="317"/>
      <c r="B24" s="10">
        <v>1</v>
      </c>
      <c r="C24" s="10">
        <v>1</v>
      </c>
      <c r="D24" s="10">
        <v>4</v>
      </c>
      <c r="E24" s="10">
        <v>2</v>
      </c>
      <c r="F24" s="10"/>
      <c r="G24" s="75" t="s">
        <v>656</v>
      </c>
      <c r="H24" s="342"/>
      <c r="I24" s="9"/>
    </row>
    <row r="25" spans="1:13" ht="18" customHeight="1">
      <c r="A25" s="317"/>
      <c r="B25" s="9">
        <v>1</v>
      </c>
      <c r="C25" s="9">
        <v>2</v>
      </c>
      <c r="D25" s="9"/>
      <c r="E25" s="9"/>
      <c r="F25" s="9"/>
      <c r="G25" s="343" t="s">
        <v>7</v>
      </c>
      <c r="H25" s="433">
        <f>SUM(H26+H27+H30+H31+H35)</f>
        <v>1407009700</v>
      </c>
      <c r="I25" s="9"/>
    </row>
    <row r="26" spans="1:13" ht="18" customHeight="1">
      <c r="A26" s="317"/>
      <c r="B26" s="10">
        <v>1</v>
      </c>
      <c r="C26" s="10">
        <v>2</v>
      </c>
      <c r="D26" s="10">
        <v>1</v>
      </c>
      <c r="E26" s="10"/>
      <c r="F26" s="10"/>
      <c r="G26" s="75" t="s">
        <v>8</v>
      </c>
      <c r="H26" s="180">
        <v>835038000</v>
      </c>
      <c r="I26" s="9"/>
    </row>
    <row r="27" spans="1:13" ht="18" customHeight="1">
      <c r="A27" s="317"/>
      <c r="B27" s="10">
        <v>1</v>
      </c>
      <c r="C27" s="10">
        <v>2</v>
      </c>
      <c r="D27" s="10">
        <v>2</v>
      </c>
      <c r="E27" s="10"/>
      <c r="F27" s="10"/>
      <c r="G27" s="75" t="s">
        <v>9</v>
      </c>
      <c r="H27" s="180">
        <f>H28+H29</f>
        <v>10210000</v>
      </c>
      <c r="I27" s="9"/>
    </row>
    <row r="28" spans="1:13" ht="18" customHeight="1">
      <c r="A28" s="317"/>
      <c r="B28" s="10">
        <v>1</v>
      </c>
      <c r="C28" s="10">
        <v>2</v>
      </c>
      <c r="D28" s="10">
        <v>2</v>
      </c>
      <c r="E28" s="10">
        <v>1</v>
      </c>
      <c r="F28" s="10"/>
      <c r="G28" s="75" t="s">
        <v>10</v>
      </c>
      <c r="H28" s="180">
        <v>9150000</v>
      </c>
      <c r="I28" s="10"/>
      <c r="K28" s="2">
        <f>7744000/2</f>
        <v>3872000</v>
      </c>
    </row>
    <row r="29" spans="1:13" ht="18" customHeight="1">
      <c r="A29" s="317"/>
      <c r="B29" s="10">
        <v>1</v>
      </c>
      <c r="C29" s="10">
        <v>2</v>
      </c>
      <c r="D29" s="10">
        <v>2</v>
      </c>
      <c r="E29" s="10">
        <v>2</v>
      </c>
      <c r="F29" s="10"/>
      <c r="G29" s="75" t="s">
        <v>11</v>
      </c>
      <c r="H29" s="180">
        <v>1060000</v>
      </c>
      <c r="I29" s="10"/>
    </row>
    <row r="30" spans="1:13" ht="18" customHeight="1">
      <c r="A30" s="317"/>
      <c r="B30" s="10">
        <v>1</v>
      </c>
      <c r="C30" s="10">
        <v>2</v>
      </c>
      <c r="D30" s="10">
        <v>3</v>
      </c>
      <c r="E30" s="10"/>
      <c r="F30" s="10"/>
      <c r="G30" s="75" t="s">
        <v>12</v>
      </c>
      <c r="H30" s="180">
        <v>394407700</v>
      </c>
      <c r="I30" s="9"/>
      <c r="M30" s="13">
        <v>654600000</v>
      </c>
    </row>
    <row r="31" spans="1:13" ht="18" customHeight="1">
      <c r="A31" s="317"/>
      <c r="B31" s="10">
        <v>1</v>
      </c>
      <c r="C31" s="10">
        <v>2</v>
      </c>
      <c r="D31" s="10">
        <v>4</v>
      </c>
      <c r="E31" s="10"/>
      <c r="F31" s="10"/>
      <c r="G31" s="75" t="s">
        <v>13</v>
      </c>
      <c r="H31" s="180">
        <f>H32</f>
        <v>165000000</v>
      </c>
      <c r="I31" s="9"/>
      <c r="M31" s="13">
        <v>394448112</v>
      </c>
    </row>
    <row r="32" spans="1:13" ht="18" customHeight="1">
      <c r="A32" s="317"/>
      <c r="B32" s="10">
        <v>1</v>
      </c>
      <c r="C32" s="10">
        <v>2</v>
      </c>
      <c r="D32" s="10">
        <v>4</v>
      </c>
      <c r="E32" s="10">
        <v>1</v>
      </c>
      <c r="F32" s="10"/>
      <c r="G32" s="75" t="s">
        <v>14</v>
      </c>
      <c r="H32" s="180">
        <f>SUM(H33:H34)</f>
        <v>165000000</v>
      </c>
      <c r="I32" s="10"/>
      <c r="M32" s="13">
        <v>0</v>
      </c>
    </row>
    <row r="33" spans="1:15" ht="35.25" customHeight="1">
      <c r="A33" s="317"/>
      <c r="B33" s="10">
        <v>1</v>
      </c>
      <c r="C33" s="10">
        <v>2</v>
      </c>
      <c r="D33" s="10">
        <v>4</v>
      </c>
      <c r="E33" s="10">
        <v>1</v>
      </c>
      <c r="F33" s="10">
        <v>1</v>
      </c>
      <c r="G33" s="275" t="s">
        <v>658</v>
      </c>
      <c r="H33" s="180">
        <v>150000000</v>
      </c>
      <c r="I33" s="10"/>
      <c r="M33" s="13">
        <f>SUM(M30:M32)</f>
        <v>1049048112</v>
      </c>
    </row>
    <row r="34" spans="1:15" ht="30" customHeight="1">
      <c r="A34" s="317"/>
      <c r="B34" s="10">
        <v>1</v>
      </c>
      <c r="C34" s="10">
        <v>2</v>
      </c>
      <c r="D34" s="10">
        <v>4</v>
      </c>
      <c r="E34" s="10">
        <v>1</v>
      </c>
      <c r="F34" s="10">
        <v>2</v>
      </c>
      <c r="G34" s="275" t="s">
        <v>938</v>
      </c>
      <c r="H34" s="180">
        <v>15000000</v>
      </c>
      <c r="I34" s="10"/>
      <c r="M34" s="13"/>
    </row>
    <row r="35" spans="1:15" ht="18" customHeight="1">
      <c r="A35" s="317"/>
      <c r="B35" s="10">
        <v>1</v>
      </c>
      <c r="C35" s="10">
        <v>2</v>
      </c>
      <c r="D35" s="10">
        <v>4</v>
      </c>
      <c r="E35" s="10">
        <v>2</v>
      </c>
      <c r="F35" s="10"/>
      <c r="G35" s="275" t="s">
        <v>15</v>
      </c>
      <c r="H35" s="180">
        <f>SUM(H36:H37)</f>
        <v>2354000</v>
      </c>
      <c r="I35" s="10"/>
    </row>
    <row r="36" spans="1:15" ht="18" customHeight="1">
      <c r="A36" s="317"/>
      <c r="B36" s="10">
        <v>1</v>
      </c>
      <c r="C36" s="10">
        <v>2</v>
      </c>
      <c r="D36" s="10">
        <v>4</v>
      </c>
      <c r="E36" s="10">
        <v>2</v>
      </c>
      <c r="F36" s="10">
        <v>1</v>
      </c>
      <c r="G36" s="275" t="s">
        <v>662</v>
      </c>
      <c r="H36" s="180"/>
      <c r="I36" s="10"/>
    </row>
    <row r="37" spans="1:15" ht="36" customHeight="1">
      <c r="A37" s="317"/>
      <c r="B37" s="10">
        <v>1</v>
      </c>
      <c r="C37" s="10">
        <v>2</v>
      </c>
      <c r="D37" s="10">
        <v>4</v>
      </c>
      <c r="E37" s="10">
        <v>2</v>
      </c>
      <c r="F37" s="10">
        <v>2</v>
      </c>
      <c r="G37" s="275" t="s">
        <v>921</v>
      </c>
      <c r="H37" s="180">
        <v>2354000</v>
      </c>
      <c r="I37" s="10"/>
    </row>
    <row r="38" spans="1:15" ht="18" customHeight="1">
      <c r="A38" s="317"/>
      <c r="B38" s="9">
        <v>1</v>
      </c>
      <c r="C38" s="9">
        <v>3</v>
      </c>
      <c r="D38" s="9"/>
      <c r="E38" s="9"/>
      <c r="F38" s="9"/>
      <c r="G38" s="343" t="s">
        <v>16</v>
      </c>
      <c r="H38" s="433">
        <f>SUM(H39:H40)</f>
        <v>0</v>
      </c>
      <c r="I38" s="9"/>
      <c r="K38" s="317"/>
    </row>
    <row r="39" spans="1:15" ht="33" customHeight="1">
      <c r="A39" s="317"/>
      <c r="B39" s="10">
        <v>1</v>
      </c>
      <c r="C39" s="10">
        <v>3</v>
      </c>
      <c r="D39" s="10">
        <v>1</v>
      </c>
      <c r="E39" s="10"/>
      <c r="F39" s="10"/>
      <c r="G39" s="75" t="s">
        <v>661</v>
      </c>
      <c r="H39" s="180">
        <v>0</v>
      </c>
      <c r="I39" s="9"/>
    </row>
    <row r="40" spans="1:15" ht="18" customHeight="1">
      <c r="A40" s="317"/>
      <c r="B40" s="10">
        <v>1</v>
      </c>
      <c r="C40" s="10">
        <v>3</v>
      </c>
      <c r="D40" s="10">
        <v>2</v>
      </c>
      <c r="E40" s="10"/>
      <c r="F40" s="10"/>
      <c r="G40" s="75" t="s">
        <v>17</v>
      </c>
      <c r="H40" s="180">
        <f>SUM(H41:H42)</f>
        <v>0</v>
      </c>
      <c r="I40" s="9"/>
      <c r="K40" s="436"/>
    </row>
    <row r="41" spans="1:15" ht="18" customHeight="1">
      <c r="A41" s="317"/>
      <c r="B41" s="10">
        <v>1</v>
      </c>
      <c r="C41" s="10">
        <v>3</v>
      </c>
      <c r="D41" s="10">
        <v>2</v>
      </c>
      <c r="E41" s="10">
        <v>1</v>
      </c>
      <c r="F41" s="10"/>
      <c r="G41" s="75" t="s">
        <v>659</v>
      </c>
      <c r="H41" s="180"/>
      <c r="I41" s="9"/>
      <c r="K41" s="436"/>
    </row>
    <row r="42" spans="1:15" ht="18" customHeight="1">
      <c r="A42" s="317"/>
      <c r="B42" s="10">
        <v>1</v>
      </c>
      <c r="C42" s="10">
        <v>3</v>
      </c>
      <c r="D42" s="10">
        <v>2</v>
      </c>
      <c r="E42" s="10">
        <v>2</v>
      </c>
      <c r="F42" s="10"/>
      <c r="G42" s="75" t="s">
        <v>660</v>
      </c>
      <c r="H42" s="180">
        <v>0</v>
      </c>
      <c r="I42" s="9"/>
      <c r="K42" s="436"/>
    </row>
    <row r="43" spans="1:15" ht="18" customHeight="1">
      <c r="A43" s="317"/>
      <c r="B43" s="9"/>
      <c r="C43" s="9"/>
      <c r="D43" s="9"/>
      <c r="E43" s="9"/>
      <c r="F43" s="9"/>
      <c r="G43" s="343" t="s">
        <v>18</v>
      </c>
      <c r="H43" s="271">
        <f>SUM(H10+H25)</f>
        <v>1510309700</v>
      </c>
      <c r="I43" s="9"/>
    </row>
    <row r="44" spans="1:15" ht="7.5" customHeight="1">
      <c r="A44" s="317"/>
      <c r="B44" s="10"/>
      <c r="C44" s="10"/>
      <c r="D44" s="10"/>
      <c r="E44" s="10"/>
      <c r="F44" s="10"/>
      <c r="G44" s="75"/>
      <c r="H44" s="342"/>
      <c r="I44" s="10"/>
    </row>
    <row r="45" spans="1:15" ht="18" customHeight="1">
      <c r="A45" s="317"/>
      <c r="B45" s="9">
        <v>2</v>
      </c>
      <c r="C45" s="9"/>
      <c r="D45" s="9"/>
      <c r="E45" s="9"/>
      <c r="F45" s="9"/>
      <c r="G45" s="343" t="s">
        <v>19</v>
      </c>
      <c r="H45" s="643">
        <f>SUM(H46+H73+H95+H108+H170)</f>
        <v>1510309700</v>
      </c>
      <c r="I45" s="434"/>
      <c r="J45" s="19" t="s">
        <v>402</v>
      </c>
      <c r="K45" s="19"/>
    </row>
    <row r="46" spans="1:15" ht="38.25" customHeight="1">
      <c r="A46" s="317"/>
      <c r="B46" s="9">
        <v>2</v>
      </c>
      <c r="C46" s="9">
        <v>1</v>
      </c>
      <c r="D46" s="9"/>
      <c r="E46" s="9"/>
      <c r="F46" s="9"/>
      <c r="G46" s="343" t="s">
        <v>20</v>
      </c>
      <c r="H46" s="271">
        <f>SUM(H47+H57+H60+H63+H66+H69)</f>
        <v>446207608</v>
      </c>
      <c r="I46" s="644" t="s">
        <v>629</v>
      </c>
      <c r="J46" s="804" t="s">
        <v>125</v>
      </c>
      <c r="K46" s="804"/>
      <c r="L46" s="804"/>
      <c r="M46" s="804"/>
      <c r="N46" s="804"/>
      <c r="O46" s="804"/>
    </row>
    <row r="47" spans="1:15" ht="33" customHeight="1">
      <c r="A47" s="317"/>
      <c r="B47" s="9">
        <v>2</v>
      </c>
      <c r="C47" s="9">
        <v>1</v>
      </c>
      <c r="D47" s="9">
        <v>1</v>
      </c>
      <c r="E47" s="9"/>
      <c r="F47" s="9"/>
      <c r="G47" s="343" t="s">
        <v>21</v>
      </c>
      <c r="H47" s="271">
        <f>H48</f>
        <v>323671608</v>
      </c>
      <c r="I47" s="645"/>
      <c r="J47" s="6" t="s">
        <v>126</v>
      </c>
      <c r="K47" s="7"/>
      <c r="M47" s="13">
        <f>1510309700*30%-H50-H51-H66-H69</f>
        <v>400414910</v>
      </c>
      <c r="N47" s="13">
        <f>M47-H46</f>
        <v>-45792698</v>
      </c>
    </row>
    <row r="48" spans="1:15" s="8" customFormat="1" ht="18" customHeight="1">
      <c r="A48" s="646"/>
      <c r="B48" s="23">
        <v>2</v>
      </c>
      <c r="C48" s="23">
        <v>1</v>
      </c>
      <c r="D48" s="23">
        <v>1</v>
      </c>
      <c r="E48" s="23">
        <v>1</v>
      </c>
      <c r="F48" s="23"/>
      <c r="G48" s="349" t="s">
        <v>22</v>
      </c>
      <c r="H48" s="678">
        <f>SUM(H49:H56)</f>
        <v>323671608</v>
      </c>
      <c r="I48" s="23"/>
      <c r="K48" s="260">
        <f>H48*60%</f>
        <v>194202964.79999998</v>
      </c>
      <c r="M48" s="260">
        <f>1510309700*1%</f>
        <v>15103097</v>
      </c>
      <c r="N48" s="8">
        <v>13</v>
      </c>
    </row>
    <row r="49" spans="1:14" s="7" customFormat="1" ht="39" customHeight="1">
      <c r="A49" s="648"/>
      <c r="B49" s="649"/>
      <c r="C49" s="649"/>
      <c r="D49" s="649"/>
      <c r="E49" s="649"/>
      <c r="F49" s="649"/>
      <c r="G49" s="650" t="s">
        <v>230</v>
      </c>
      <c r="H49" s="651">
        <f>'RAB Penyelenggaraan Pem'!J16</f>
        <v>236496000</v>
      </c>
      <c r="I49" s="23" t="s">
        <v>396</v>
      </c>
      <c r="J49" s="7" t="s">
        <v>127</v>
      </c>
      <c r="K49" s="25">
        <f>H49*60%</f>
        <v>141897600</v>
      </c>
      <c r="L49" s="7" t="s">
        <v>478</v>
      </c>
      <c r="M49" s="26"/>
      <c r="N49" s="7">
        <f>N47/N48</f>
        <v>-3522515.230769231</v>
      </c>
    </row>
    <row r="50" spans="1:14" ht="41.25" customHeight="1">
      <c r="A50" s="317"/>
      <c r="B50" s="10"/>
      <c r="C50" s="10"/>
      <c r="D50" s="10"/>
      <c r="E50" s="10"/>
      <c r="F50" s="10"/>
      <c r="G50" s="652" t="s">
        <v>663</v>
      </c>
      <c r="H50" s="180">
        <f>'RAB Penyelenggaraan Pem'!J24</f>
        <v>13600000</v>
      </c>
      <c r="I50" s="23" t="s">
        <v>365</v>
      </c>
      <c r="J50" s="7"/>
      <c r="K50" s="263" t="s">
        <v>206</v>
      </c>
      <c r="L50" s="111"/>
      <c r="M50" s="13"/>
    </row>
    <row r="51" spans="1:14" ht="49.5" customHeight="1">
      <c r="A51" s="317"/>
      <c r="B51" s="674"/>
      <c r="C51" s="674"/>
      <c r="D51" s="674"/>
      <c r="E51" s="674"/>
      <c r="F51" s="674"/>
      <c r="G51" s="675" t="s">
        <v>939</v>
      </c>
      <c r="H51" s="676">
        <f>'RAB Penyelenggaraan Pem'!J31</f>
        <v>15000000</v>
      </c>
      <c r="I51" s="677" t="s">
        <v>944</v>
      </c>
      <c r="J51" s="7"/>
      <c r="K51" s="262">
        <f>H50+H51+H69</f>
        <v>30954000</v>
      </c>
      <c r="L51"/>
      <c r="M51" s="25">
        <f>H43*30%+28600000</f>
        <v>481692910</v>
      </c>
    </row>
    <row r="52" spans="1:14" ht="34.5" customHeight="1">
      <c r="A52" s="317"/>
      <c r="B52" s="10"/>
      <c r="C52" s="10"/>
      <c r="D52" s="10"/>
      <c r="E52" s="10"/>
      <c r="F52" s="10"/>
      <c r="G52" s="652" t="s">
        <v>196</v>
      </c>
      <c r="H52" s="180">
        <f>'RAB Penyelenggaraan Pem'!J48</f>
        <v>18994560</v>
      </c>
      <c r="I52" s="649"/>
      <c r="J52" s="7"/>
      <c r="K52" s="261">
        <f>H52*60%</f>
        <v>11396736</v>
      </c>
      <c r="L52"/>
      <c r="M52" s="13"/>
    </row>
    <row r="53" spans="1:14" s="7" customFormat="1" ht="18" customHeight="1">
      <c r="A53" s="648"/>
      <c r="B53" s="649"/>
      <c r="C53" s="649"/>
      <c r="D53" s="649"/>
      <c r="E53" s="649"/>
      <c r="F53" s="649"/>
      <c r="G53" s="650" t="s">
        <v>24</v>
      </c>
      <c r="H53" s="651">
        <f>'RAB Penyelenggaraan Pem'!J39</f>
        <v>19620000</v>
      </c>
      <c r="I53" s="653"/>
      <c r="J53" s="7" t="s">
        <v>128</v>
      </c>
      <c r="K53" s="138">
        <f>H53*60%</f>
        <v>11772000</v>
      </c>
      <c r="L53"/>
    </row>
    <row r="54" spans="1:14" s="7" customFormat="1" ht="18" customHeight="1">
      <c r="A54" s="648"/>
      <c r="B54" s="649"/>
      <c r="C54" s="649"/>
      <c r="D54" s="649"/>
      <c r="E54" s="649"/>
      <c r="F54" s="649"/>
      <c r="G54" s="650" t="s">
        <v>231</v>
      </c>
      <c r="H54" s="651">
        <f>'RAB Penyelenggaraan Pem'!J44</f>
        <v>4961048</v>
      </c>
      <c r="I54" s="653"/>
      <c r="K54" s="7">
        <f>H54*60%</f>
        <v>2976628.8</v>
      </c>
    </row>
    <row r="55" spans="1:14" ht="18" customHeight="1">
      <c r="A55" s="317"/>
      <c r="B55" s="10"/>
      <c r="C55" s="10"/>
      <c r="D55" s="10"/>
      <c r="E55" s="10"/>
      <c r="F55" s="10"/>
      <c r="G55" s="652" t="s">
        <v>129</v>
      </c>
      <c r="H55" s="651">
        <f>'RAB Penyelenggaraan Pem'!J69</f>
        <v>0</v>
      </c>
      <c r="I55" s="654"/>
      <c r="J55" s="7" t="s">
        <v>130</v>
      </c>
      <c r="K55" s="7">
        <v>1500000</v>
      </c>
    </row>
    <row r="56" spans="1:14" ht="18" customHeight="1">
      <c r="A56" s="317"/>
      <c r="B56" s="10"/>
      <c r="C56" s="10"/>
      <c r="D56" s="10"/>
      <c r="E56" s="10"/>
      <c r="F56" s="10"/>
      <c r="G56" s="652" t="s">
        <v>163</v>
      </c>
      <c r="H56" s="180">
        <f>'RAB Penyelenggaraan Pem'!J70</f>
        <v>15000000</v>
      </c>
      <c r="I56" s="655" t="s">
        <v>23</v>
      </c>
      <c r="J56" s="7"/>
      <c r="K56" s="7" t="e">
        <f>I47-#REF!</f>
        <v>#REF!</v>
      </c>
      <c r="L56" s="2">
        <f>H56*60%</f>
        <v>9000000</v>
      </c>
    </row>
    <row r="57" spans="1:14" ht="24.75" customHeight="1">
      <c r="A57" s="317"/>
      <c r="B57" s="9">
        <v>2</v>
      </c>
      <c r="C57" s="9">
        <v>1</v>
      </c>
      <c r="D57" s="9">
        <v>2</v>
      </c>
      <c r="E57" s="9"/>
      <c r="F57" s="9"/>
      <c r="G57" s="343" t="s">
        <v>967</v>
      </c>
      <c r="H57" s="271">
        <f>SUM(H58+H59)</f>
        <v>60300000</v>
      </c>
      <c r="I57" s="23" t="s">
        <v>356</v>
      </c>
      <c r="K57" s="2">
        <f>H57*60%</f>
        <v>36180000</v>
      </c>
    </row>
    <row r="58" spans="1:14" s="7" customFormat="1" ht="18" customHeight="1">
      <c r="A58" s="648"/>
      <c r="B58" s="23">
        <v>2</v>
      </c>
      <c r="C58" s="23">
        <v>1</v>
      </c>
      <c r="D58" s="23">
        <v>2</v>
      </c>
      <c r="E58" s="23">
        <v>2</v>
      </c>
      <c r="F58" s="23"/>
      <c r="G58" s="349" t="s">
        <v>26</v>
      </c>
      <c r="H58" s="678">
        <f>'RAB Penyelenggaraan Pem'!J106</f>
        <v>47631000</v>
      </c>
      <c r="I58" s="653"/>
      <c r="J58" s="7" t="s">
        <v>131</v>
      </c>
    </row>
    <row r="59" spans="1:14" ht="18" customHeight="1">
      <c r="A59" s="317"/>
      <c r="B59" s="10">
        <v>2</v>
      </c>
      <c r="C59" s="10">
        <v>1</v>
      </c>
      <c r="D59" s="10">
        <v>2</v>
      </c>
      <c r="E59" s="10">
        <v>3</v>
      </c>
      <c r="F59" s="10"/>
      <c r="G59" s="75" t="s">
        <v>32</v>
      </c>
      <c r="H59" s="180">
        <f>'RAB Penyelenggaraan Pem'!J149</f>
        <v>12669000</v>
      </c>
      <c r="I59" s="656"/>
    </row>
    <row r="60" spans="1:14" s="7" customFormat="1" ht="18" customHeight="1">
      <c r="A60" s="648"/>
      <c r="B60" s="653">
        <v>2</v>
      </c>
      <c r="C60" s="653">
        <v>1</v>
      </c>
      <c r="D60" s="653">
        <v>3</v>
      </c>
      <c r="E60" s="653"/>
      <c r="F60" s="653"/>
      <c r="G60" s="21" t="s">
        <v>33</v>
      </c>
      <c r="H60" s="647">
        <f>H61+H62</f>
        <v>3058000</v>
      </c>
      <c r="I60" s="23" t="s">
        <v>356</v>
      </c>
      <c r="K60" s="7">
        <f>H60*60%</f>
        <v>1834800</v>
      </c>
    </row>
    <row r="61" spans="1:14" ht="18" customHeight="1">
      <c r="A61" s="317"/>
      <c r="B61" s="10">
        <v>2</v>
      </c>
      <c r="C61" s="10">
        <v>1</v>
      </c>
      <c r="D61" s="10">
        <v>3</v>
      </c>
      <c r="E61" s="10">
        <v>2</v>
      </c>
      <c r="F61" s="10"/>
      <c r="G61" s="75" t="s">
        <v>34</v>
      </c>
      <c r="H61" s="342">
        <f>'RAB Penyelenggaraan Pem'!J181</f>
        <v>1408000</v>
      </c>
      <c r="I61" s="10"/>
    </row>
    <row r="62" spans="1:14" ht="18" customHeight="1">
      <c r="A62" s="317"/>
      <c r="B62" s="10">
        <v>2</v>
      </c>
      <c r="C62" s="10">
        <v>1</v>
      </c>
      <c r="D62" s="10">
        <v>3</v>
      </c>
      <c r="E62" s="10">
        <v>3</v>
      </c>
      <c r="F62" s="10"/>
      <c r="G62" s="652" t="s">
        <v>32</v>
      </c>
      <c r="H62" s="342">
        <f>'RAB Penyelenggaraan Pem'!J185</f>
        <v>1650000</v>
      </c>
      <c r="I62" s="10"/>
    </row>
    <row r="63" spans="1:14" ht="33.75" customHeight="1">
      <c r="A63" s="317"/>
      <c r="B63" s="9">
        <v>2</v>
      </c>
      <c r="C63" s="9">
        <v>1</v>
      </c>
      <c r="D63" s="9">
        <v>4</v>
      </c>
      <c r="E63" s="9"/>
      <c r="F63" s="9"/>
      <c r="G63" s="343" t="s">
        <v>35</v>
      </c>
      <c r="H63" s="433">
        <f>H64+H65</f>
        <v>35100000</v>
      </c>
      <c r="I63" s="657" t="s">
        <v>356</v>
      </c>
      <c r="K63" s="2">
        <f>H63*60%</f>
        <v>21060000</v>
      </c>
    </row>
    <row r="64" spans="1:14" s="7" customFormat="1" ht="18" customHeight="1">
      <c r="A64" s="648"/>
      <c r="B64" s="23">
        <v>2</v>
      </c>
      <c r="C64" s="23">
        <v>1</v>
      </c>
      <c r="D64" s="23">
        <v>4</v>
      </c>
      <c r="E64" s="23">
        <v>2</v>
      </c>
      <c r="F64" s="23"/>
      <c r="G64" s="349" t="s">
        <v>34</v>
      </c>
      <c r="H64" s="658">
        <f>'RAB Penyelenggaraan Pem'!J215</f>
        <v>35100000</v>
      </c>
      <c r="I64" s="659"/>
    </row>
    <row r="65" spans="1:14" ht="18" customHeight="1">
      <c r="A65" s="317"/>
      <c r="B65" s="10">
        <v>2</v>
      </c>
      <c r="C65" s="10">
        <v>1</v>
      </c>
      <c r="D65" s="10">
        <v>4</v>
      </c>
      <c r="E65" s="10">
        <v>3</v>
      </c>
      <c r="F65" s="10"/>
      <c r="G65" s="75" t="s">
        <v>132</v>
      </c>
      <c r="H65" s="342">
        <f>'RAB Penyelenggaraan Pem'!J219</f>
        <v>0</v>
      </c>
      <c r="I65" s="10"/>
    </row>
    <row r="66" spans="1:14" ht="34.5" customHeight="1">
      <c r="A66" s="317"/>
      <c r="B66" s="9">
        <v>2</v>
      </c>
      <c r="C66" s="9">
        <v>1</v>
      </c>
      <c r="D66" s="9">
        <v>12</v>
      </c>
      <c r="E66" s="9"/>
      <c r="F66" s="9"/>
      <c r="G66" s="755" t="s">
        <v>986</v>
      </c>
      <c r="H66" s="271">
        <f>SUM(H67:H68)</f>
        <v>21724000</v>
      </c>
      <c r="I66" s="9" t="s">
        <v>1000</v>
      </c>
    </row>
    <row r="67" spans="1:14" ht="18" customHeight="1">
      <c r="A67" s="317"/>
      <c r="B67" s="23">
        <v>2</v>
      </c>
      <c r="C67" s="23">
        <v>1</v>
      </c>
      <c r="D67" s="23">
        <v>12</v>
      </c>
      <c r="E67" s="23">
        <v>2</v>
      </c>
      <c r="F67" s="23"/>
      <c r="G67" s="349" t="s">
        <v>34</v>
      </c>
      <c r="H67" s="342">
        <f>'RAB Penyelenggaraan Pem'!J247</f>
        <v>8236000</v>
      </c>
      <c r="I67" s="10"/>
    </row>
    <row r="68" spans="1:14" ht="18" customHeight="1">
      <c r="A68" s="317"/>
      <c r="B68" s="10">
        <v>2</v>
      </c>
      <c r="C68" s="10">
        <v>1</v>
      </c>
      <c r="D68" s="10">
        <v>12</v>
      </c>
      <c r="E68" s="10">
        <v>3</v>
      </c>
      <c r="F68" s="10"/>
      <c r="G68" s="75" t="s">
        <v>132</v>
      </c>
      <c r="H68" s="342">
        <f>'RAB Penyelenggaraan Pem'!J258</f>
        <v>13488000</v>
      </c>
      <c r="I68" s="10"/>
    </row>
    <row r="69" spans="1:14" ht="18" customHeight="1">
      <c r="A69" s="317"/>
      <c r="B69" s="9">
        <v>2</v>
      </c>
      <c r="C69" s="9">
        <v>1</v>
      </c>
      <c r="D69" s="9">
        <v>13</v>
      </c>
      <c r="E69" s="9"/>
      <c r="F69" s="9"/>
      <c r="G69" s="343" t="s">
        <v>941</v>
      </c>
      <c r="H69" s="271">
        <f>SUM(H70:H71)</f>
        <v>2354000</v>
      </c>
      <c r="I69" s="10" t="s">
        <v>942</v>
      </c>
    </row>
    <row r="70" spans="1:14" ht="18" customHeight="1">
      <c r="A70" s="317"/>
      <c r="B70" s="23">
        <v>2</v>
      </c>
      <c r="C70" s="23">
        <v>1</v>
      </c>
      <c r="D70" s="23">
        <v>13</v>
      </c>
      <c r="E70" s="23">
        <v>2</v>
      </c>
      <c r="F70" s="23"/>
      <c r="G70" s="349" t="s">
        <v>34</v>
      </c>
      <c r="H70" s="342">
        <f>'RAB Penyelenggaraan Pem'!J292</f>
        <v>2354000</v>
      </c>
      <c r="I70" s="10"/>
    </row>
    <row r="71" spans="1:14" ht="18" customHeight="1">
      <c r="A71" s="317"/>
      <c r="B71" s="10">
        <v>2</v>
      </c>
      <c r="C71" s="10">
        <v>1</v>
      </c>
      <c r="D71" s="10">
        <v>13</v>
      </c>
      <c r="E71" s="10">
        <v>3</v>
      </c>
      <c r="F71" s="10"/>
      <c r="G71" s="75" t="s">
        <v>132</v>
      </c>
      <c r="H71" s="342">
        <f>'RAB Penyelenggaraan Pem'!J295</f>
        <v>0</v>
      </c>
      <c r="I71" s="10"/>
    </row>
    <row r="72" spans="1:14" ht="9" customHeight="1">
      <c r="A72" s="317"/>
      <c r="B72" s="10"/>
      <c r="C72" s="10"/>
      <c r="D72" s="10"/>
      <c r="E72" s="660"/>
      <c r="F72" s="10"/>
      <c r="G72" s="75"/>
      <c r="H72" s="342"/>
      <c r="I72" s="10"/>
      <c r="J72" s="627" t="s">
        <v>965</v>
      </c>
      <c r="K72" s="628">
        <v>15000000</v>
      </c>
      <c r="L72" s="13"/>
    </row>
    <row r="73" spans="1:14" ht="34.5" customHeight="1">
      <c r="A73" s="317"/>
      <c r="B73" s="9">
        <v>2</v>
      </c>
      <c r="C73" s="9">
        <v>2</v>
      </c>
      <c r="D73" s="9"/>
      <c r="E73" s="9"/>
      <c r="F73" s="9"/>
      <c r="G73" s="343" t="s">
        <v>36</v>
      </c>
      <c r="H73" s="271">
        <f>SUM(H74+H77+H80+H83+H86+H89+H92)</f>
        <v>747246772</v>
      </c>
      <c r="I73" s="434"/>
      <c r="J73" s="537" t="s">
        <v>917</v>
      </c>
      <c r="K73" s="182">
        <v>150000000</v>
      </c>
      <c r="L73" s="538"/>
      <c r="M73" s="4">
        <f>H43*70%</f>
        <v>1057216789.9999999</v>
      </c>
    </row>
    <row r="74" spans="1:14" ht="34.5" customHeight="1">
      <c r="A74" s="317"/>
      <c r="B74" s="9">
        <v>2</v>
      </c>
      <c r="C74" s="9">
        <v>2</v>
      </c>
      <c r="D74" s="9">
        <v>2</v>
      </c>
      <c r="E74" s="9"/>
      <c r="F74" s="9"/>
      <c r="G74" s="661" t="s">
        <v>933</v>
      </c>
      <c r="H74" s="271">
        <f>SUM(H75:H76)</f>
        <v>59077200</v>
      </c>
      <c r="I74" s="434" t="s">
        <v>246</v>
      </c>
      <c r="J74" s="537" t="s">
        <v>960</v>
      </c>
      <c r="K74" s="182">
        <f>H26</f>
        <v>835038000</v>
      </c>
      <c r="L74" s="632">
        <f>SUM(H73+H108-H89)</f>
        <v>816250272</v>
      </c>
      <c r="M74" s="4">
        <v>165000000</v>
      </c>
    </row>
    <row r="75" spans="1:14" ht="21" customHeight="1">
      <c r="A75" s="317"/>
      <c r="B75" s="10">
        <v>2</v>
      </c>
      <c r="C75" s="10">
        <v>2</v>
      </c>
      <c r="D75" s="10">
        <v>2</v>
      </c>
      <c r="E75" s="10">
        <v>2</v>
      </c>
      <c r="F75" s="10"/>
      <c r="G75" s="75" t="s">
        <v>37</v>
      </c>
      <c r="H75" s="342">
        <f>RABPembangunan!J16</f>
        <v>4871500</v>
      </c>
      <c r="I75" s="434"/>
      <c r="J75" s="537" t="s">
        <v>961</v>
      </c>
      <c r="K75" s="182">
        <f>H30</f>
        <v>394407700</v>
      </c>
      <c r="L75" s="538">
        <f>SUM(H49+H52+H53+H54+H56+H57+H60+H63)</f>
        <v>393529608</v>
      </c>
      <c r="M75" s="4">
        <v>13600000</v>
      </c>
    </row>
    <row r="76" spans="1:14" ht="21" customHeight="1">
      <c r="A76" s="317"/>
      <c r="B76" s="10">
        <v>2</v>
      </c>
      <c r="C76" s="10">
        <v>2</v>
      </c>
      <c r="D76" s="10">
        <v>2</v>
      </c>
      <c r="E76" s="10">
        <v>3</v>
      </c>
      <c r="F76" s="10"/>
      <c r="G76" s="652" t="s">
        <v>32</v>
      </c>
      <c r="H76" s="342">
        <f>RABPembangunan!J24</f>
        <v>54205700</v>
      </c>
      <c r="I76" s="434"/>
      <c r="J76" s="537" t="s">
        <v>962</v>
      </c>
      <c r="K76" s="182">
        <f>H10</f>
        <v>103300000</v>
      </c>
      <c r="L76" s="538" t="e">
        <f>SUM(H50+#REF!+H99+H102+H105)</f>
        <v>#REF!</v>
      </c>
      <c r="M76" s="4">
        <v>2354000</v>
      </c>
    </row>
    <row r="77" spans="1:14" ht="53.25" customHeight="1">
      <c r="A77" s="317"/>
      <c r="B77" s="9">
        <v>2</v>
      </c>
      <c r="C77" s="9">
        <v>2</v>
      </c>
      <c r="D77" s="9">
        <v>3</v>
      </c>
      <c r="E77" s="9"/>
      <c r="F77" s="9"/>
      <c r="G77" s="661" t="s">
        <v>854</v>
      </c>
      <c r="H77" s="271">
        <f>SUM(H78:H79)</f>
        <v>28097000</v>
      </c>
      <c r="I77" s="9" t="s">
        <v>246</v>
      </c>
      <c r="J77" s="626" t="s">
        <v>963</v>
      </c>
      <c r="K77" s="182">
        <f>H37</f>
        <v>2354000</v>
      </c>
      <c r="L77" s="13"/>
      <c r="M77" s="13">
        <f>M73-M74-M75-M76</f>
        <v>876262789.99999988</v>
      </c>
      <c r="N77" s="2" t="s">
        <v>943</v>
      </c>
    </row>
    <row r="78" spans="1:14" ht="21" customHeight="1">
      <c r="A78" s="317"/>
      <c r="B78" s="10">
        <v>2</v>
      </c>
      <c r="C78" s="10">
        <v>2</v>
      </c>
      <c r="D78" s="10">
        <v>3</v>
      </c>
      <c r="E78" s="10">
        <v>2</v>
      </c>
      <c r="F78" s="10"/>
      <c r="G78" s="75" t="s">
        <v>37</v>
      </c>
      <c r="H78" s="342">
        <f>RABPembangunan!J73</f>
        <v>28097000</v>
      </c>
      <c r="I78" s="10"/>
      <c r="J78" s="627" t="s">
        <v>964</v>
      </c>
      <c r="K78" s="182">
        <f>H27</f>
        <v>10210000</v>
      </c>
      <c r="L78" s="13"/>
      <c r="M78" s="13"/>
    </row>
    <row r="79" spans="1:14" ht="21" customHeight="1">
      <c r="A79" s="317"/>
      <c r="B79" s="10">
        <v>2</v>
      </c>
      <c r="C79" s="10">
        <v>2</v>
      </c>
      <c r="D79" s="10">
        <v>3</v>
      </c>
      <c r="E79" s="10">
        <v>3</v>
      </c>
      <c r="F79" s="10"/>
      <c r="G79" s="652" t="s">
        <v>32</v>
      </c>
      <c r="H79" s="342">
        <f>RABPembangunan!J84</f>
        <v>0</v>
      </c>
      <c r="I79" s="10"/>
      <c r="K79" s="182">
        <f>SUM(K72:K78)</f>
        <v>1510309700</v>
      </c>
      <c r="L79" s="13"/>
      <c r="M79" s="13"/>
    </row>
    <row r="80" spans="1:14" ht="38.25" customHeight="1">
      <c r="A80" s="317"/>
      <c r="B80" s="9">
        <v>2</v>
      </c>
      <c r="C80" s="9">
        <v>2</v>
      </c>
      <c r="D80" s="9">
        <v>4</v>
      </c>
      <c r="E80" s="10"/>
      <c r="F80" s="10"/>
      <c r="G80" s="662" t="s">
        <v>569</v>
      </c>
      <c r="H80" s="271">
        <f>SUM(H81:H82)</f>
        <v>58093800</v>
      </c>
      <c r="I80" s="10" t="s">
        <v>246</v>
      </c>
      <c r="K80" s="35">
        <v>352000</v>
      </c>
      <c r="L80" s="13">
        <f>SUM(K75-L75)</f>
        <v>878092</v>
      </c>
      <c r="M80" s="13"/>
    </row>
    <row r="81" spans="1:13" ht="21" customHeight="1">
      <c r="A81" s="317"/>
      <c r="B81" s="10">
        <v>2</v>
      </c>
      <c r="C81" s="10">
        <v>2</v>
      </c>
      <c r="D81" s="10">
        <v>4</v>
      </c>
      <c r="E81" s="10">
        <v>2</v>
      </c>
      <c r="F81" s="10"/>
      <c r="G81" s="75" t="s">
        <v>37</v>
      </c>
      <c r="H81" s="342">
        <f>SUM(RABPembangunan!J111+RABPembangunan!J151)</f>
        <v>5453000</v>
      </c>
      <c r="I81" s="10"/>
      <c r="L81" s="2">
        <v>3815768</v>
      </c>
      <c r="M81" s="13"/>
    </row>
    <row r="82" spans="1:13" ht="21" customHeight="1">
      <c r="A82" s="317"/>
      <c r="B82" s="10">
        <v>2</v>
      </c>
      <c r="C82" s="10">
        <v>2</v>
      </c>
      <c r="D82" s="10">
        <v>4</v>
      </c>
      <c r="E82" s="10">
        <v>3</v>
      </c>
      <c r="F82" s="10"/>
      <c r="G82" s="652" t="s">
        <v>32</v>
      </c>
      <c r="H82" s="342">
        <f>SUM(RABPembangunan!J119+RABPembangunan!J159)</f>
        <v>52640800</v>
      </c>
      <c r="I82" s="10"/>
      <c r="L82" s="13">
        <f>SUM(L74-L81)</f>
        <v>812434504</v>
      </c>
      <c r="M82" s="13"/>
    </row>
    <row r="83" spans="1:13" ht="55.5" customHeight="1">
      <c r="A83" s="317"/>
      <c r="B83" s="9">
        <v>2</v>
      </c>
      <c r="C83" s="9">
        <v>2</v>
      </c>
      <c r="D83" s="9">
        <v>9</v>
      </c>
      <c r="E83" s="344"/>
      <c r="F83" s="344"/>
      <c r="G83" s="664" t="s">
        <v>736</v>
      </c>
      <c r="H83" s="321">
        <f>SUM(H84:H85)</f>
        <v>35837832</v>
      </c>
      <c r="I83" s="9" t="s">
        <v>246</v>
      </c>
    </row>
    <row r="84" spans="1:13" ht="18" customHeight="1">
      <c r="A84" s="317"/>
      <c r="B84" s="10">
        <v>2</v>
      </c>
      <c r="C84" s="10">
        <v>2</v>
      </c>
      <c r="D84" s="10">
        <v>9</v>
      </c>
      <c r="E84" s="11">
        <v>2</v>
      </c>
      <c r="F84" s="11"/>
      <c r="G84" s="345" t="s">
        <v>34</v>
      </c>
      <c r="H84" s="253">
        <f>RABPembangunan!J200</f>
        <v>3247032</v>
      </c>
      <c r="I84" s="9"/>
    </row>
    <row r="85" spans="1:13" ht="18" customHeight="1">
      <c r="A85" s="317"/>
      <c r="B85" s="10">
        <v>2</v>
      </c>
      <c r="C85" s="10">
        <v>2</v>
      </c>
      <c r="D85" s="10">
        <v>9</v>
      </c>
      <c r="E85" s="11">
        <v>3</v>
      </c>
      <c r="F85" s="11"/>
      <c r="G85" s="345" t="s">
        <v>32</v>
      </c>
      <c r="H85" s="253">
        <f>RABPembangunan!J208</f>
        <v>32590800</v>
      </c>
      <c r="I85" s="9"/>
    </row>
    <row r="86" spans="1:13" ht="54.75" customHeight="1">
      <c r="A86" s="317"/>
      <c r="B86" s="20">
        <v>2</v>
      </c>
      <c r="C86" s="20">
        <v>2</v>
      </c>
      <c r="D86" s="20">
        <v>19</v>
      </c>
      <c r="E86" s="20"/>
      <c r="F86" s="20"/>
      <c r="G86" s="21" t="s">
        <v>139</v>
      </c>
      <c r="H86" s="22">
        <f>SUM(H87:H88)</f>
        <v>400314940</v>
      </c>
      <c r="I86" s="23" t="s">
        <v>246</v>
      </c>
    </row>
    <row r="87" spans="1:13" ht="18" customHeight="1">
      <c r="A87" s="317"/>
      <c r="B87" s="28">
        <v>2</v>
      </c>
      <c r="C87" s="28">
        <v>2</v>
      </c>
      <c r="D87" s="28">
        <v>19</v>
      </c>
      <c r="E87" s="11">
        <v>2</v>
      </c>
      <c r="F87" s="11"/>
      <c r="G87" s="345" t="s">
        <v>34</v>
      </c>
      <c r="H87" s="24">
        <f>SUM(RABPembangunan!J252+RABPembangunan!J288+RABPembangunan!J315+RABPembangunan!J338+RABPembangunan!J358+RABPembangunan!J382+RABPembangunan!J404+RABPembangunan!J423+RABPembangunan!J445+RABPembangunan!J464+RABPembangunan!J483+RABPembangunan!J509+RABPembangunan!J535+RABPembangunan!J562+RABPembangunan!J586+RABPembangunan!J609+RABPembangunan!J630)</f>
        <v>39490700</v>
      </c>
      <c r="I87" s="23"/>
      <c r="K87" s="2" t="s">
        <v>907</v>
      </c>
      <c r="L87" s="13"/>
    </row>
    <row r="88" spans="1:13" ht="18" customHeight="1">
      <c r="A88" s="317"/>
      <c r="B88" s="28">
        <v>2</v>
      </c>
      <c r="C88" s="28">
        <v>2</v>
      </c>
      <c r="D88" s="28">
        <v>19</v>
      </c>
      <c r="E88" s="11">
        <v>3</v>
      </c>
      <c r="F88" s="11"/>
      <c r="G88" s="345" t="s">
        <v>32</v>
      </c>
      <c r="H88" s="24">
        <f>SUM(RABPembangunan!J269+RABPembangunan!J296+RABPembangunan!J323+RABPembangunan!J346+RABPembangunan!J366+RABPembangunan!J390+RABPembangunan!J412+RABPembangunan!J431+RABPembangunan!J453+RABPembangunan!J472+RABPembangunan!J491+RABPembangunan!J517+RABPembangunan!J543+RABPembangunan!J570+RABPembangunan!J594+RABPembangunan!J617+RABPembangunan!J638)</f>
        <v>360824240</v>
      </c>
      <c r="I88" s="23"/>
      <c r="K88" s="2" t="s">
        <v>908</v>
      </c>
      <c r="L88" s="13"/>
    </row>
    <row r="89" spans="1:13" ht="33.75" customHeight="1">
      <c r="A89" s="317"/>
      <c r="B89" s="756">
        <v>2</v>
      </c>
      <c r="C89" s="756">
        <v>2</v>
      </c>
      <c r="D89" s="756">
        <v>20</v>
      </c>
      <c r="E89" s="756"/>
      <c r="F89" s="756"/>
      <c r="G89" s="757" t="s">
        <v>140</v>
      </c>
      <c r="H89" s="758">
        <f>SUM(H90:H91)</f>
        <v>150000000</v>
      </c>
      <c r="I89" s="638" t="s">
        <v>945</v>
      </c>
    </row>
    <row r="90" spans="1:13" ht="20.25" customHeight="1">
      <c r="A90" s="317"/>
      <c r="B90" s="11">
        <v>2</v>
      </c>
      <c r="C90" s="11">
        <v>2</v>
      </c>
      <c r="D90" s="11">
        <v>20</v>
      </c>
      <c r="E90" s="11">
        <v>2</v>
      </c>
      <c r="F90" s="11"/>
      <c r="G90" s="75" t="s">
        <v>34</v>
      </c>
      <c r="H90" s="183">
        <f>RABPembangunan!J672</f>
        <v>7500000</v>
      </c>
      <c r="I90" s="10"/>
    </row>
    <row r="91" spans="1:13" ht="19.5" customHeight="1">
      <c r="A91" s="317"/>
      <c r="B91" s="11">
        <v>2</v>
      </c>
      <c r="C91" s="11">
        <v>2</v>
      </c>
      <c r="D91" s="11">
        <v>20</v>
      </c>
      <c r="E91" s="11">
        <v>3</v>
      </c>
      <c r="F91" s="11"/>
      <c r="G91" s="75" t="s">
        <v>32</v>
      </c>
      <c r="H91" s="183">
        <f>RABPembangunan!J683</f>
        <v>142500000</v>
      </c>
      <c r="I91" s="10"/>
    </row>
    <row r="92" spans="1:13" ht="34.5" customHeight="1">
      <c r="A92" s="317"/>
      <c r="B92" s="14">
        <v>2</v>
      </c>
      <c r="C92" s="14">
        <v>2</v>
      </c>
      <c r="D92" s="14">
        <v>51</v>
      </c>
      <c r="E92" s="11"/>
      <c r="F92" s="11"/>
      <c r="G92" s="661" t="s">
        <v>847</v>
      </c>
      <c r="H92" s="347">
        <f>SUM(H93:H94)</f>
        <v>15826000</v>
      </c>
      <c r="I92" s="10" t="s">
        <v>246</v>
      </c>
    </row>
    <row r="93" spans="1:13" ht="18" customHeight="1">
      <c r="A93" s="317"/>
      <c r="B93" s="11">
        <v>2</v>
      </c>
      <c r="C93" s="11">
        <v>2</v>
      </c>
      <c r="D93" s="11">
        <v>51</v>
      </c>
      <c r="E93" s="11">
        <v>2</v>
      </c>
      <c r="F93" s="11"/>
      <c r="G93" s="345" t="s">
        <v>34</v>
      </c>
      <c r="H93" s="183">
        <f>RABPembangunan!J724</f>
        <v>1854000</v>
      </c>
      <c r="I93" s="10"/>
    </row>
    <row r="94" spans="1:13" ht="18" customHeight="1">
      <c r="A94" s="317"/>
      <c r="B94" s="11">
        <v>2</v>
      </c>
      <c r="C94" s="11">
        <v>2</v>
      </c>
      <c r="D94" s="11">
        <v>51</v>
      </c>
      <c r="E94" s="11">
        <v>3</v>
      </c>
      <c r="F94" s="11"/>
      <c r="G94" s="345" t="s">
        <v>32</v>
      </c>
      <c r="H94" s="183">
        <f>RABPembangunan!J732</f>
        <v>13972000</v>
      </c>
      <c r="I94" s="10"/>
    </row>
    <row r="95" spans="1:13" ht="36" customHeight="1">
      <c r="A95" s="317"/>
      <c r="B95" s="9">
        <v>2</v>
      </c>
      <c r="C95" s="9">
        <v>3</v>
      </c>
      <c r="D95" s="9"/>
      <c r="E95" s="9"/>
      <c r="F95" s="9"/>
      <c r="G95" s="343" t="s">
        <v>38</v>
      </c>
      <c r="H95" s="433">
        <f>SUM(H96+H99+H102+H105)</f>
        <v>97851820</v>
      </c>
      <c r="I95" s="434"/>
      <c r="K95" s="175">
        <f>H73+H108</f>
        <v>966250272</v>
      </c>
    </row>
    <row r="96" spans="1:13" ht="36" customHeight="1">
      <c r="A96" s="317"/>
      <c r="B96" s="9">
        <v>2</v>
      </c>
      <c r="C96" s="9">
        <v>3</v>
      </c>
      <c r="D96" s="9">
        <v>1</v>
      </c>
      <c r="E96" s="9"/>
      <c r="F96" s="665"/>
      <c r="G96" s="666" t="s">
        <v>141</v>
      </c>
      <c r="H96" s="433">
        <f>SUM(H97:H98)</f>
        <v>10562000</v>
      </c>
      <c r="I96" s="667" t="s">
        <v>972</v>
      </c>
      <c r="J96" s="317"/>
      <c r="K96" s="435">
        <v>150000000</v>
      </c>
    </row>
    <row r="97" spans="1:14" ht="19.5" customHeight="1">
      <c r="A97" s="317"/>
      <c r="B97" s="10">
        <v>2</v>
      </c>
      <c r="C97" s="10">
        <v>3</v>
      </c>
      <c r="D97" s="10">
        <v>1</v>
      </c>
      <c r="E97" s="10">
        <v>2</v>
      </c>
      <c r="F97" s="10"/>
      <c r="G97" s="75" t="s">
        <v>39</v>
      </c>
      <c r="H97" s="180">
        <f>RABPembinaanKemasY!H18</f>
        <v>10562000</v>
      </c>
      <c r="I97" s="434"/>
      <c r="J97" s="317"/>
      <c r="K97" s="435"/>
    </row>
    <row r="98" spans="1:14" ht="17.25" customHeight="1">
      <c r="A98" s="317"/>
      <c r="B98" s="10">
        <v>2</v>
      </c>
      <c r="C98" s="10">
        <v>3</v>
      </c>
      <c r="D98" s="10">
        <v>1</v>
      </c>
      <c r="E98" s="10">
        <v>3</v>
      </c>
      <c r="F98" s="10"/>
      <c r="G98" s="652" t="s">
        <v>32</v>
      </c>
      <c r="H98" s="433"/>
      <c r="I98" s="434"/>
      <c r="J98" s="317"/>
      <c r="K98" s="435"/>
    </row>
    <row r="99" spans="1:14" ht="33" customHeight="1">
      <c r="A99" s="317"/>
      <c r="B99" s="9">
        <v>2</v>
      </c>
      <c r="C99" s="9">
        <v>3</v>
      </c>
      <c r="D99" s="9">
        <v>2</v>
      </c>
      <c r="E99" s="9"/>
      <c r="F99" s="9"/>
      <c r="G99" s="343" t="s">
        <v>142</v>
      </c>
      <c r="H99" s="433">
        <f>SUM(H100+H101)</f>
        <v>9064500</v>
      </c>
      <c r="I99" s="9" t="s">
        <v>365</v>
      </c>
    </row>
    <row r="100" spans="1:14" ht="18" customHeight="1">
      <c r="A100" s="317"/>
      <c r="B100" s="10">
        <v>2</v>
      </c>
      <c r="C100" s="10">
        <v>3</v>
      </c>
      <c r="D100" s="10">
        <v>2</v>
      </c>
      <c r="E100" s="10">
        <v>2</v>
      </c>
      <c r="F100" s="10"/>
      <c r="G100" s="75" t="s">
        <v>39</v>
      </c>
      <c r="H100" s="180">
        <f>RABPembinaanKemasY!H60</f>
        <v>5164500</v>
      </c>
      <c r="I100" s="9"/>
    </row>
    <row r="101" spans="1:14" ht="18" customHeight="1">
      <c r="A101" s="317"/>
      <c r="B101" s="10">
        <v>2</v>
      </c>
      <c r="C101" s="10">
        <v>3</v>
      </c>
      <c r="D101" s="10">
        <v>2</v>
      </c>
      <c r="E101" s="10">
        <v>3</v>
      </c>
      <c r="F101" s="10"/>
      <c r="G101" s="652" t="s">
        <v>32</v>
      </c>
      <c r="H101" s="342">
        <f>RABPembinaanKemasY!H76</f>
        <v>3900000</v>
      </c>
      <c r="I101" s="9"/>
    </row>
    <row r="102" spans="1:14" ht="27.75" customHeight="1">
      <c r="A102" s="317"/>
      <c r="B102" s="9">
        <v>2</v>
      </c>
      <c r="C102" s="9">
        <v>3</v>
      </c>
      <c r="D102" s="9">
        <v>7</v>
      </c>
      <c r="E102" s="9"/>
      <c r="F102" s="9"/>
      <c r="G102" s="668" t="s">
        <v>724</v>
      </c>
      <c r="H102" s="271">
        <f>SUM(H103:H104)</f>
        <v>52440320</v>
      </c>
      <c r="I102" s="9" t="s">
        <v>365</v>
      </c>
    </row>
    <row r="103" spans="1:14" ht="18" customHeight="1">
      <c r="A103" s="317"/>
      <c r="B103" s="10">
        <v>2</v>
      </c>
      <c r="C103" s="10">
        <v>3</v>
      </c>
      <c r="D103" s="10">
        <v>7</v>
      </c>
      <c r="E103" s="10">
        <v>2</v>
      </c>
      <c r="F103" s="10"/>
      <c r="G103" s="75" t="s">
        <v>39</v>
      </c>
      <c r="H103" s="342">
        <f>SUM(RABPembinaanKemasY!H104+RABPembinaanKemasY!H234+RABPembinaanKemasY!H275)</f>
        <v>52440320</v>
      </c>
      <c r="I103" s="9"/>
    </row>
    <row r="104" spans="1:14" ht="18" customHeight="1">
      <c r="A104" s="317"/>
      <c r="B104" s="10">
        <v>2</v>
      </c>
      <c r="C104" s="10">
        <v>3</v>
      </c>
      <c r="D104" s="10">
        <v>7</v>
      </c>
      <c r="E104" s="10">
        <v>3</v>
      </c>
      <c r="F104" s="10"/>
      <c r="G104" s="652" t="s">
        <v>32</v>
      </c>
      <c r="H104" s="342">
        <f>RABPembinaanKemasY!H117</f>
        <v>0</v>
      </c>
      <c r="I104" s="9"/>
    </row>
    <row r="105" spans="1:14" ht="22.5" customHeight="1">
      <c r="A105" s="317"/>
      <c r="B105" s="14">
        <v>2</v>
      </c>
      <c r="C105" s="14">
        <v>3</v>
      </c>
      <c r="D105" s="14">
        <v>8</v>
      </c>
      <c r="E105" s="9"/>
      <c r="F105" s="9"/>
      <c r="G105" s="662" t="s">
        <v>937</v>
      </c>
      <c r="H105" s="271">
        <f>SUM(H106:H107)</f>
        <v>25785000</v>
      </c>
      <c r="I105" s="9" t="s">
        <v>365</v>
      </c>
    </row>
    <row r="106" spans="1:14" ht="18" customHeight="1">
      <c r="A106" s="317"/>
      <c r="B106" s="11">
        <v>2</v>
      </c>
      <c r="C106" s="11">
        <v>3</v>
      </c>
      <c r="D106" s="11">
        <v>8</v>
      </c>
      <c r="E106" s="10">
        <v>2</v>
      </c>
      <c r="F106" s="10"/>
      <c r="G106" s="75" t="s">
        <v>39</v>
      </c>
      <c r="H106" s="342">
        <f>SUM(RABPembinaanKemasY!H189+RABPembinaanKemasY!H149)</f>
        <v>25785000</v>
      </c>
      <c r="I106" s="9"/>
      <c r="K106" s="13"/>
    </row>
    <row r="107" spans="1:14" ht="18" customHeight="1">
      <c r="A107" s="317"/>
      <c r="B107" s="11">
        <v>2</v>
      </c>
      <c r="C107" s="11">
        <v>3</v>
      </c>
      <c r="D107" s="11">
        <v>8</v>
      </c>
      <c r="E107" s="10">
        <v>3</v>
      </c>
      <c r="F107" s="10"/>
      <c r="G107" s="652" t="s">
        <v>32</v>
      </c>
      <c r="H107" s="342">
        <f>RABPembinaanKemasY!H201</f>
        <v>0</v>
      </c>
      <c r="I107" s="9"/>
      <c r="J107" s="316"/>
      <c r="K107"/>
      <c r="L107" s="13"/>
      <c r="M107" s="13"/>
      <c r="N107" s="13"/>
    </row>
    <row r="108" spans="1:14" ht="36.75" customHeight="1">
      <c r="A108" s="317"/>
      <c r="B108" s="9">
        <v>2</v>
      </c>
      <c r="C108" s="9">
        <v>4</v>
      </c>
      <c r="D108" s="9"/>
      <c r="E108" s="9"/>
      <c r="F108" s="9"/>
      <c r="G108" s="343" t="s">
        <v>40</v>
      </c>
      <c r="H108" s="271">
        <f>SUM(H109+H112+H115+H118+H121+H124+H127+H130+H133+H136+H139+H142+H145+H148+H151+H154+H157+H160+H163+H167)</f>
        <v>219003500</v>
      </c>
      <c r="I108" s="434"/>
      <c r="K108" s="622"/>
      <c r="L108" s="13"/>
    </row>
    <row r="109" spans="1:14" ht="37.5" customHeight="1">
      <c r="A109" s="317"/>
      <c r="B109" s="9">
        <v>2</v>
      </c>
      <c r="C109" s="9">
        <v>4</v>
      </c>
      <c r="D109" s="9">
        <v>1</v>
      </c>
      <c r="E109" s="9"/>
      <c r="F109" s="9"/>
      <c r="G109" s="343" t="s">
        <v>144</v>
      </c>
      <c r="H109" s="271">
        <f>SUM(H110:H111)</f>
        <v>6154000</v>
      </c>
      <c r="I109" s="10" t="s">
        <v>246</v>
      </c>
      <c r="K109" s="13" t="e">
        <f>#REF!-K108</f>
        <v>#REF!</v>
      </c>
      <c r="L109" s="13"/>
    </row>
    <row r="110" spans="1:14" ht="18" customHeight="1">
      <c r="A110" s="317"/>
      <c r="B110" s="11">
        <v>2</v>
      </c>
      <c r="C110" s="11">
        <v>4</v>
      </c>
      <c r="D110" s="11">
        <v>1</v>
      </c>
      <c r="E110" s="11">
        <v>2</v>
      </c>
      <c r="F110" s="11"/>
      <c r="G110" s="345" t="s">
        <v>34</v>
      </c>
      <c r="H110" s="12">
        <f>RABPemberdayaanMasy!H16</f>
        <v>6154000</v>
      </c>
      <c r="I110" s="10"/>
      <c r="L110" s="13"/>
    </row>
    <row r="111" spans="1:14" ht="18" customHeight="1">
      <c r="A111" s="317"/>
      <c r="B111" s="11">
        <v>2</v>
      </c>
      <c r="C111" s="11">
        <v>4</v>
      </c>
      <c r="D111" s="11">
        <v>1</v>
      </c>
      <c r="E111" s="11">
        <v>3</v>
      </c>
      <c r="F111" s="11"/>
      <c r="G111" s="345" t="s">
        <v>32</v>
      </c>
      <c r="H111" s="183">
        <f>RABPemberdayaanMasy!H28</f>
        <v>0</v>
      </c>
      <c r="I111" s="10"/>
    </row>
    <row r="112" spans="1:14" ht="82.5" customHeight="1">
      <c r="A112" s="317"/>
      <c r="B112" s="9">
        <v>2</v>
      </c>
      <c r="C112" s="9">
        <v>4</v>
      </c>
      <c r="D112" s="9">
        <v>2</v>
      </c>
      <c r="E112" s="9"/>
      <c r="F112" s="665"/>
      <c r="G112" s="762" t="s">
        <v>618</v>
      </c>
      <c r="H112" s="347">
        <f>SUM(H113:H114)</f>
        <v>20000000</v>
      </c>
      <c r="I112" s="10" t="s">
        <v>246</v>
      </c>
    </row>
    <row r="113" spans="1:9" ht="18" customHeight="1">
      <c r="A113" s="317"/>
      <c r="B113" s="11">
        <v>2</v>
      </c>
      <c r="C113" s="11">
        <v>4</v>
      </c>
      <c r="D113" s="11">
        <v>1</v>
      </c>
      <c r="E113" s="11">
        <v>2</v>
      </c>
      <c r="F113" s="11"/>
      <c r="G113" s="345" t="s">
        <v>34</v>
      </c>
      <c r="H113" s="183"/>
      <c r="I113" s="10"/>
    </row>
    <row r="114" spans="1:9" ht="18" customHeight="1">
      <c r="A114" s="317"/>
      <c r="B114" s="11">
        <v>2</v>
      </c>
      <c r="C114" s="11">
        <v>4</v>
      </c>
      <c r="D114" s="11">
        <v>1</v>
      </c>
      <c r="E114" s="11">
        <v>3</v>
      </c>
      <c r="F114" s="11"/>
      <c r="G114" s="345" t="s">
        <v>32</v>
      </c>
      <c r="H114" s="183">
        <f>RABPemberdayaanMasy!H55</f>
        <v>20000000</v>
      </c>
      <c r="I114" s="10"/>
    </row>
    <row r="115" spans="1:9" ht="52.5" customHeight="1">
      <c r="A115" s="317"/>
      <c r="B115" s="9">
        <v>2</v>
      </c>
      <c r="C115" s="9">
        <v>4</v>
      </c>
      <c r="D115" s="9">
        <v>3</v>
      </c>
      <c r="E115" s="9"/>
      <c r="F115" s="9"/>
      <c r="G115" s="343" t="s">
        <v>145</v>
      </c>
      <c r="H115" s="433">
        <f>SUM(H116:H117)</f>
        <v>7807000</v>
      </c>
      <c r="I115" s="10" t="s">
        <v>246</v>
      </c>
    </row>
    <row r="116" spans="1:9" ht="18" customHeight="1">
      <c r="A116" s="317"/>
      <c r="B116" s="10">
        <v>2</v>
      </c>
      <c r="C116" s="10">
        <v>4</v>
      </c>
      <c r="D116" s="10">
        <v>3</v>
      </c>
      <c r="E116" s="11">
        <v>2</v>
      </c>
      <c r="F116" s="11"/>
      <c r="G116" s="345" t="s">
        <v>34</v>
      </c>
      <c r="H116" s="180">
        <f>RABPemberdayaanMasy!H83</f>
        <v>7807000</v>
      </c>
      <c r="I116" s="10"/>
    </row>
    <row r="117" spans="1:9" ht="18" customHeight="1">
      <c r="A117" s="317"/>
      <c r="B117" s="10">
        <v>2</v>
      </c>
      <c r="C117" s="10">
        <v>4</v>
      </c>
      <c r="D117" s="10">
        <v>3</v>
      </c>
      <c r="E117" s="10">
        <v>3</v>
      </c>
      <c r="F117" s="10"/>
      <c r="G117" s="75" t="s">
        <v>32</v>
      </c>
      <c r="H117" s="180">
        <f>RABPemberdayaanMasy!H95</f>
        <v>0</v>
      </c>
      <c r="I117" s="10"/>
    </row>
    <row r="118" spans="1:9" ht="53.25" customHeight="1">
      <c r="A118" s="317"/>
      <c r="B118" s="9">
        <v>2</v>
      </c>
      <c r="C118" s="9">
        <v>4</v>
      </c>
      <c r="D118" s="9">
        <v>5</v>
      </c>
      <c r="E118" s="9"/>
      <c r="F118" s="9"/>
      <c r="G118" s="343" t="s">
        <v>146</v>
      </c>
      <c r="H118" s="271">
        <f>SUM(H119:H120)</f>
        <v>7767000</v>
      </c>
      <c r="I118" s="10" t="s">
        <v>246</v>
      </c>
    </row>
    <row r="119" spans="1:9" ht="18" customHeight="1">
      <c r="A119" s="317"/>
      <c r="B119" s="10">
        <v>2</v>
      </c>
      <c r="C119" s="10">
        <v>4</v>
      </c>
      <c r="D119" s="10">
        <v>5</v>
      </c>
      <c r="E119" s="11">
        <v>2</v>
      </c>
      <c r="F119" s="11"/>
      <c r="G119" s="345" t="s">
        <v>34</v>
      </c>
      <c r="H119" s="342">
        <f>RABPemberdayaanMasy!H121</f>
        <v>7767000</v>
      </c>
      <c r="I119" s="10"/>
    </row>
    <row r="120" spans="1:9" ht="18" customHeight="1">
      <c r="A120" s="317"/>
      <c r="B120" s="10">
        <v>2</v>
      </c>
      <c r="C120" s="10">
        <v>4</v>
      </c>
      <c r="D120" s="10">
        <v>5</v>
      </c>
      <c r="E120" s="10">
        <v>3</v>
      </c>
      <c r="F120" s="10"/>
      <c r="G120" s="75" t="s">
        <v>32</v>
      </c>
      <c r="H120" s="180">
        <v>0</v>
      </c>
      <c r="I120" s="10"/>
    </row>
    <row r="121" spans="1:9" ht="33.75" customHeight="1">
      <c r="A121" s="317"/>
      <c r="B121" s="14">
        <v>2</v>
      </c>
      <c r="C121" s="14">
        <v>4</v>
      </c>
      <c r="D121" s="14">
        <v>7</v>
      </c>
      <c r="E121" s="14"/>
      <c r="F121" s="14"/>
      <c r="G121" s="343" t="s">
        <v>147</v>
      </c>
      <c r="H121" s="642">
        <f>SUM(H122+H123)</f>
        <v>7229000</v>
      </c>
      <c r="I121" s="10" t="s">
        <v>246</v>
      </c>
    </row>
    <row r="122" spans="1:9" ht="18" customHeight="1">
      <c r="A122" s="317"/>
      <c r="B122" s="11">
        <v>2</v>
      </c>
      <c r="C122" s="11">
        <v>4</v>
      </c>
      <c r="D122" s="11">
        <v>7</v>
      </c>
      <c r="E122" s="11">
        <v>2</v>
      </c>
      <c r="F122" s="11"/>
      <c r="G122" s="345" t="s">
        <v>34</v>
      </c>
      <c r="H122" s="12">
        <f>RABPemberdayaanMasy!H159</f>
        <v>7229000</v>
      </c>
      <c r="I122" s="10"/>
    </row>
    <row r="123" spans="1:9" ht="18" customHeight="1">
      <c r="A123" s="317"/>
      <c r="B123" s="11">
        <v>2</v>
      </c>
      <c r="C123" s="11">
        <v>4</v>
      </c>
      <c r="D123" s="11">
        <v>7</v>
      </c>
      <c r="E123" s="10">
        <v>3</v>
      </c>
      <c r="F123" s="10"/>
      <c r="G123" s="75" t="s">
        <v>32</v>
      </c>
      <c r="H123" s="12">
        <v>0</v>
      </c>
      <c r="I123" s="10"/>
    </row>
    <row r="124" spans="1:9" ht="36" customHeight="1">
      <c r="A124" s="317"/>
      <c r="B124" s="14">
        <v>2</v>
      </c>
      <c r="C124" s="14">
        <v>4</v>
      </c>
      <c r="D124" s="14">
        <v>8</v>
      </c>
      <c r="E124" s="14"/>
      <c r="F124" s="14"/>
      <c r="G124" s="343" t="s">
        <v>148</v>
      </c>
      <c r="H124" s="642">
        <f>SUM(H125+H126)</f>
        <v>4945000</v>
      </c>
      <c r="I124" s="10" t="s">
        <v>246</v>
      </c>
    </row>
    <row r="125" spans="1:9" ht="18" customHeight="1">
      <c r="A125" s="317"/>
      <c r="B125" s="11">
        <v>2</v>
      </c>
      <c r="C125" s="11">
        <v>4</v>
      </c>
      <c r="D125" s="11">
        <v>8</v>
      </c>
      <c r="E125" s="11">
        <v>2</v>
      </c>
      <c r="F125" s="11"/>
      <c r="G125" s="345" t="s">
        <v>34</v>
      </c>
      <c r="H125" s="12">
        <f>RABPemberdayaanMasy!H198</f>
        <v>4195000</v>
      </c>
      <c r="I125" s="10"/>
    </row>
    <row r="126" spans="1:9" ht="18" customHeight="1">
      <c r="A126" s="317"/>
      <c r="B126" s="11">
        <v>2</v>
      </c>
      <c r="C126" s="11">
        <v>4</v>
      </c>
      <c r="D126" s="11">
        <v>8</v>
      </c>
      <c r="E126" s="10">
        <v>3</v>
      </c>
      <c r="F126" s="10"/>
      <c r="G126" s="75" t="s">
        <v>32</v>
      </c>
      <c r="H126" s="12">
        <f>RABPemberdayaanMasy!H210</f>
        <v>750000</v>
      </c>
      <c r="I126" s="10"/>
    </row>
    <row r="127" spans="1:9" ht="33.75" customHeight="1">
      <c r="A127" s="317"/>
      <c r="B127" s="14">
        <v>2</v>
      </c>
      <c r="C127" s="14">
        <v>4</v>
      </c>
      <c r="D127" s="14">
        <v>9</v>
      </c>
      <c r="E127" s="14"/>
      <c r="F127" s="14"/>
      <c r="G127" s="343" t="s">
        <v>149</v>
      </c>
      <c r="H127" s="642">
        <f>SUM(H128:H129)</f>
        <v>25746000</v>
      </c>
      <c r="I127" s="10" t="s">
        <v>246</v>
      </c>
    </row>
    <row r="128" spans="1:9" ht="18" customHeight="1">
      <c r="A128" s="317"/>
      <c r="B128" s="11">
        <v>2</v>
      </c>
      <c r="C128" s="11">
        <v>4</v>
      </c>
      <c r="D128" s="11">
        <v>9</v>
      </c>
      <c r="E128" s="11">
        <v>2</v>
      </c>
      <c r="F128" s="11"/>
      <c r="G128" s="345" t="s">
        <v>34</v>
      </c>
      <c r="H128" s="12">
        <f>RABPemberdayaanMasy!H239</f>
        <v>21246000</v>
      </c>
      <c r="I128" s="10"/>
    </row>
    <row r="129" spans="1:9" ht="18" customHeight="1">
      <c r="A129" s="317"/>
      <c r="B129" s="11">
        <v>2</v>
      </c>
      <c r="C129" s="11">
        <v>4</v>
      </c>
      <c r="D129" s="11">
        <v>9</v>
      </c>
      <c r="E129" s="10">
        <v>3</v>
      </c>
      <c r="F129" s="10"/>
      <c r="G129" s="75" t="s">
        <v>32</v>
      </c>
      <c r="H129" s="12">
        <f>RABPemberdayaanMasy!H252</f>
        <v>4500000</v>
      </c>
      <c r="I129" s="10"/>
    </row>
    <row r="130" spans="1:9" ht="36.75" customHeight="1">
      <c r="A130" s="317"/>
      <c r="B130" s="14">
        <v>2</v>
      </c>
      <c r="C130" s="14">
        <v>4</v>
      </c>
      <c r="D130" s="14">
        <v>10</v>
      </c>
      <c r="E130" s="9"/>
      <c r="F130" s="9"/>
      <c r="G130" s="343" t="s">
        <v>150</v>
      </c>
      <c r="H130" s="642">
        <f>SUM(H131+H132)</f>
        <v>10696000</v>
      </c>
      <c r="I130" s="10" t="s">
        <v>246</v>
      </c>
    </row>
    <row r="131" spans="1:9" ht="18" customHeight="1">
      <c r="A131" s="317"/>
      <c r="B131" s="11">
        <v>2</v>
      </c>
      <c r="C131" s="11">
        <v>4</v>
      </c>
      <c r="D131" s="11">
        <v>10</v>
      </c>
      <c r="E131" s="11">
        <v>2</v>
      </c>
      <c r="F131" s="11"/>
      <c r="G131" s="345" t="s">
        <v>34</v>
      </c>
      <c r="H131" s="12">
        <f>RABPemberdayaanMasy!H281</f>
        <v>8346000</v>
      </c>
      <c r="I131" s="10"/>
    </row>
    <row r="132" spans="1:9" ht="18" customHeight="1">
      <c r="A132" s="317"/>
      <c r="B132" s="11">
        <v>2</v>
      </c>
      <c r="C132" s="11">
        <v>4</v>
      </c>
      <c r="D132" s="11">
        <v>10</v>
      </c>
      <c r="E132" s="10">
        <v>3</v>
      </c>
      <c r="F132" s="10"/>
      <c r="G132" s="75" t="s">
        <v>32</v>
      </c>
      <c r="H132" s="12">
        <f>RABPemberdayaanMasy!H293</f>
        <v>2350000</v>
      </c>
      <c r="I132" s="10"/>
    </row>
    <row r="133" spans="1:9" ht="36.75" customHeight="1">
      <c r="A133" s="317"/>
      <c r="B133" s="14">
        <v>2</v>
      </c>
      <c r="C133" s="14">
        <v>4</v>
      </c>
      <c r="D133" s="14">
        <v>11</v>
      </c>
      <c r="E133" s="9"/>
      <c r="F133" s="9"/>
      <c r="G133" s="343" t="s">
        <v>151</v>
      </c>
      <c r="H133" s="642">
        <f>SUM(H134+H135)</f>
        <v>7767000</v>
      </c>
      <c r="I133" s="10" t="s">
        <v>246</v>
      </c>
    </row>
    <row r="134" spans="1:9" ht="18" customHeight="1">
      <c r="A134" s="317"/>
      <c r="B134" s="11">
        <v>2</v>
      </c>
      <c r="C134" s="11">
        <v>4</v>
      </c>
      <c r="D134" s="11">
        <v>11</v>
      </c>
      <c r="E134" s="11">
        <v>2</v>
      </c>
      <c r="F134" s="11"/>
      <c r="G134" s="345" t="s">
        <v>34</v>
      </c>
      <c r="H134" s="12">
        <f>RABPemberdayaanMasy!H321</f>
        <v>7767000</v>
      </c>
      <c r="I134" s="10"/>
    </row>
    <row r="135" spans="1:9" ht="18" customHeight="1">
      <c r="A135" s="317"/>
      <c r="B135" s="11">
        <v>2</v>
      </c>
      <c r="C135" s="11">
        <v>4</v>
      </c>
      <c r="D135" s="11">
        <v>11</v>
      </c>
      <c r="E135" s="10">
        <v>3</v>
      </c>
      <c r="F135" s="10"/>
      <c r="G135" s="75" t="s">
        <v>32</v>
      </c>
      <c r="H135" s="12">
        <f>RABPemberdayaanMasy!H333</f>
        <v>0</v>
      </c>
      <c r="I135" s="10"/>
    </row>
    <row r="136" spans="1:9" ht="33.75" customHeight="1">
      <c r="A136" s="317"/>
      <c r="B136" s="14">
        <v>2</v>
      </c>
      <c r="C136" s="14">
        <v>4</v>
      </c>
      <c r="D136" s="14">
        <v>13</v>
      </c>
      <c r="E136" s="10"/>
      <c r="F136" s="10"/>
      <c r="G136" s="343" t="s">
        <v>152</v>
      </c>
      <c r="H136" s="642">
        <f>SUM(H137+H138)</f>
        <v>7229000</v>
      </c>
      <c r="I136" s="10" t="s">
        <v>246</v>
      </c>
    </row>
    <row r="137" spans="1:9" ht="18" customHeight="1">
      <c r="A137" s="317"/>
      <c r="B137" s="11">
        <v>2</v>
      </c>
      <c r="C137" s="11">
        <v>4</v>
      </c>
      <c r="D137" s="11">
        <v>13</v>
      </c>
      <c r="E137" s="11">
        <v>2</v>
      </c>
      <c r="F137" s="11"/>
      <c r="G137" s="345" t="s">
        <v>34</v>
      </c>
      <c r="H137" s="12">
        <f>RABPemberdayaanMasy!H360</f>
        <v>7229000</v>
      </c>
      <c r="I137" s="10"/>
    </row>
    <row r="138" spans="1:9" ht="18" customHeight="1">
      <c r="A138" s="317"/>
      <c r="B138" s="11">
        <v>2</v>
      </c>
      <c r="C138" s="11">
        <v>4</v>
      </c>
      <c r="D138" s="11">
        <v>13</v>
      </c>
      <c r="E138" s="10">
        <v>3</v>
      </c>
      <c r="F138" s="10"/>
      <c r="G138" s="75" t="s">
        <v>32</v>
      </c>
      <c r="H138" s="12">
        <f>RABPemberdayaanMasy!H372</f>
        <v>0</v>
      </c>
      <c r="I138" s="10"/>
    </row>
    <row r="139" spans="1:9" ht="36.75" customHeight="1">
      <c r="A139" s="317"/>
      <c r="B139" s="14">
        <v>2</v>
      </c>
      <c r="C139" s="14">
        <v>4</v>
      </c>
      <c r="D139" s="14">
        <v>14</v>
      </c>
      <c r="E139" s="10"/>
      <c r="F139" s="10"/>
      <c r="G139" s="343" t="s">
        <v>153</v>
      </c>
      <c r="H139" s="642">
        <f>SUM(H140+H141)</f>
        <v>4643000</v>
      </c>
      <c r="I139" s="10" t="s">
        <v>246</v>
      </c>
    </row>
    <row r="140" spans="1:9" ht="18" customHeight="1">
      <c r="A140" s="317"/>
      <c r="B140" s="11">
        <v>2</v>
      </c>
      <c r="C140" s="11">
        <v>4</v>
      </c>
      <c r="D140" s="11">
        <v>14</v>
      </c>
      <c r="E140" s="11">
        <v>2</v>
      </c>
      <c r="F140" s="11"/>
      <c r="G140" s="345" t="s">
        <v>34</v>
      </c>
      <c r="H140" s="12">
        <f>RABPemberdayaanMasy!H399</f>
        <v>4643000</v>
      </c>
      <c r="I140" s="10"/>
    </row>
    <row r="141" spans="1:9" ht="18" customHeight="1">
      <c r="A141" s="317"/>
      <c r="B141" s="11">
        <v>2</v>
      </c>
      <c r="C141" s="11">
        <v>4</v>
      </c>
      <c r="D141" s="11">
        <v>14</v>
      </c>
      <c r="E141" s="10">
        <v>3</v>
      </c>
      <c r="F141" s="10"/>
      <c r="G141" s="75" t="s">
        <v>32</v>
      </c>
      <c r="H141" s="12">
        <f>RABPemberdayaanMasy!H411</f>
        <v>0</v>
      </c>
      <c r="I141" s="10"/>
    </row>
    <row r="142" spans="1:9" ht="36" customHeight="1">
      <c r="A142" s="317"/>
      <c r="B142" s="14">
        <v>2</v>
      </c>
      <c r="C142" s="14">
        <v>4</v>
      </c>
      <c r="D142" s="14">
        <v>16</v>
      </c>
      <c r="E142" s="10"/>
      <c r="F142" s="10"/>
      <c r="G142" s="663" t="s">
        <v>729</v>
      </c>
      <c r="H142" s="642">
        <f>SUM(H143+H144)</f>
        <v>7364000</v>
      </c>
      <c r="I142" s="10" t="s">
        <v>246</v>
      </c>
    </row>
    <row r="143" spans="1:9" ht="18" customHeight="1">
      <c r="A143" s="317"/>
      <c r="B143" s="11">
        <v>2</v>
      </c>
      <c r="C143" s="11">
        <v>4</v>
      </c>
      <c r="D143" s="11">
        <v>16</v>
      </c>
      <c r="E143" s="11">
        <v>2</v>
      </c>
      <c r="F143" s="11"/>
      <c r="G143" s="345" t="s">
        <v>34</v>
      </c>
      <c r="H143" s="12">
        <f>RABPemberdayaanMasy!H441</f>
        <v>7364000</v>
      </c>
      <c r="I143" s="10"/>
    </row>
    <row r="144" spans="1:9" ht="18" customHeight="1">
      <c r="A144" s="317"/>
      <c r="B144" s="11">
        <v>2</v>
      </c>
      <c r="C144" s="11">
        <v>4</v>
      </c>
      <c r="D144" s="11">
        <v>16</v>
      </c>
      <c r="E144" s="10">
        <v>3</v>
      </c>
      <c r="F144" s="10"/>
      <c r="G144" s="75" t="s">
        <v>32</v>
      </c>
      <c r="H144" s="12">
        <f>RABPemberdayaanMasy!H453</f>
        <v>0</v>
      </c>
      <c r="I144" s="10"/>
    </row>
    <row r="145" spans="1:10" ht="34.5" customHeight="1">
      <c r="A145" s="317"/>
      <c r="B145" s="14">
        <v>2</v>
      </c>
      <c r="C145" s="14">
        <v>4</v>
      </c>
      <c r="D145" s="14">
        <v>17</v>
      </c>
      <c r="E145" s="10"/>
      <c r="F145" s="10"/>
      <c r="G145" s="663" t="s">
        <v>730</v>
      </c>
      <c r="H145" s="642">
        <f>SUM(H146+H147)</f>
        <v>7267000</v>
      </c>
      <c r="I145" s="10" t="s">
        <v>246</v>
      </c>
    </row>
    <row r="146" spans="1:10" ht="18" customHeight="1">
      <c r="A146" s="317"/>
      <c r="B146" s="11">
        <v>2</v>
      </c>
      <c r="C146" s="11">
        <v>4</v>
      </c>
      <c r="D146" s="11">
        <v>17</v>
      </c>
      <c r="E146" s="11">
        <v>2</v>
      </c>
      <c r="F146" s="11"/>
      <c r="G146" s="345" t="s">
        <v>34</v>
      </c>
      <c r="H146" s="12">
        <f>RABPemberdayaanMasy!H480</f>
        <v>7267000</v>
      </c>
      <c r="I146" s="10"/>
    </row>
    <row r="147" spans="1:10" ht="18" customHeight="1">
      <c r="A147" s="317"/>
      <c r="B147" s="11">
        <v>2</v>
      </c>
      <c r="C147" s="11">
        <v>4</v>
      </c>
      <c r="D147" s="11">
        <v>17</v>
      </c>
      <c r="E147" s="10">
        <v>3</v>
      </c>
      <c r="F147" s="10"/>
      <c r="G147" s="75" t="s">
        <v>32</v>
      </c>
      <c r="H147" s="12">
        <f>RABPemberdayaanMasy!H492</f>
        <v>0</v>
      </c>
      <c r="I147" s="10"/>
    </row>
    <row r="148" spans="1:10" ht="69.75" customHeight="1">
      <c r="A148" s="317"/>
      <c r="B148" s="14">
        <v>2</v>
      </c>
      <c r="C148" s="14">
        <v>4</v>
      </c>
      <c r="D148" s="14">
        <v>19</v>
      </c>
      <c r="E148" s="10"/>
      <c r="F148" s="10"/>
      <c r="G148" s="663" t="s">
        <v>731</v>
      </c>
      <c r="H148" s="642">
        <f>SUM(H149:H150)</f>
        <v>23502500</v>
      </c>
      <c r="I148" s="10" t="s">
        <v>246</v>
      </c>
    </row>
    <row r="149" spans="1:10" ht="18" customHeight="1">
      <c r="A149" s="317"/>
      <c r="B149" s="11">
        <v>2</v>
      </c>
      <c r="C149" s="11">
        <v>4</v>
      </c>
      <c r="D149" s="11">
        <v>19</v>
      </c>
      <c r="E149" s="10">
        <v>2</v>
      </c>
      <c r="F149" s="10"/>
      <c r="G149" s="345" t="s">
        <v>34</v>
      </c>
      <c r="H149" s="12">
        <f>RABPemberdayaanMasy!H520</f>
        <v>23502500</v>
      </c>
      <c r="I149" s="10"/>
    </row>
    <row r="150" spans="1:10" ht="18" customHeight="1">
      <c r="A150" s="317"/>
      <c r="B150" s="11">
        <v>2</v>
      </c>
      <c r="C150" s="11">
        <v>4</v>
      </c>
      <c r="D150" s="11">
        <v>19</v>
      </c>
      <c r="E150" s="10">
        <v>3</v>
      </c>
      <c r="F150" s="10"/>
      <c r="G150" s="75" t="s">
        <v>32</v>
      </c>
      <c r="H150" s="12">
        <f>RABPemberdayaanMasy!H534</f>
        <v>0</v>
      </c>
      <c r="I150" s="10"/>
    </row>
    <row r="151" spans="1:10" ht="31.5" customHeight="1">
      <c r="A151" s="317"/>
      <c r="B151" s="14">
        <v>2</v>
      </c>
      <c r="C151" s="14">
        <v>4</v>
      </c>
      <c r="D151" s="14">
        <v>20</v>
      </c>
      <c r="E151" s="10"/>
      <c r="F151" s="10"/>
      <c r="G151" s="343" t="s">
        <v>133</v>
      </c>
      <c r="H151" s="642">
        <f>SUM(H152+H153)</f>
        <v>6289000</v>
      </c>
      <c r="I151" s="10" t="s">
        <v>365</v>
      </c>
    </row>
    <row r="152" spans="1:10" ht="18" customHeight="1">
      <c r="A152" s="317"/>
      <c r="B152" s="11">
        <v>2</v>
      </c>
      <c r="C152" s="11">
        <v>4</v>
      </c>
      <c r="D152" s="11">
        <v>20</v>
      </c>
      <c r="E152" s="11">
        <v>2</v>
      </c>
      <c r="F152" s="11"/>
      <c r="G152" s="345" t="s">
        <v>34</v>
      </c>
      <c r="H152" s="12">
        <f>RABPemberdayaanMasy!H759</f>
        <v>6289000</v>
      </c>
      <c r="I152" s="10"/>
      <c r="J152" s="317"/>
    </row>
    <row r="153" spans="1:10" ht="18" customHeight="1">
      <c r="A153" s="317"/>
      <c r="B153" s="11">
        <v>2</v>
      </c>
      <c r="C153" s="11">
        <v>4</v>
      </c>
      <c r="D153" s="11">
        <v>20</v>
      </c>
      <c r="E153" s="10">
        <v>3</v>
      </c>
      <c r="F153" s="10"/>
      <c r="G153" s="75" t="s">
        <v>32</v>
      </c>
      <c r="H153" s="12">
        <f>RABPemberdayaanMasy!H769</f>
        <v>0</v>
      </c>
      <c r="I153" s="10"/>
    </row>
    <row r="154" spans="1:10" ht="36.75" customHeight="1">
      <c r="A154" s="317"/>
      <c r="B154" s="14">
        <v>2</v>
      </c>
      <c r="C154" s="14">
        <v>4</v>
      </c>
      <c r="D154" s="14">
        <v>21</v>
      </c>
      <c r="E154" s="9"/>
      <c r="F154" s="9"/>
      <c r="G154" s="663" t="s">
        <v>875</v>
      </c>
      <c r="H154" s="642">
        <f>SUM(H155:H156)</f>
        <v>15535000</v>
      </c>
      <c r="I154" s="9" t="s">
        <v>246</v>
      </c>
    </row>
    <row r="155" spans="1:10" ht="18" customHeight="1">
      <c r="A155" s="317"/>
      <c r="B155" s="11">
        <v>2</v>
      </c>
      <c r="C155" s="11">
        <v>4</v>
      </c>
      <c r="D155" s="11">
        <v>21</v>
      </c>
      <c r="E155" s="11">
        <v>2</v>
      </c>
      <c r="F155" s="11"/>
      <c r="G155" s="345" t="s">
        <v>34</v>
      </c>
      <c r="H155" s="12">
        <f>RABPemberdayaanMasy!H559</f>
        <v>8535000</v>
      </c>
      <c r="I155" s="10"/>
    </row>
    <row r="156" spans="1:10" ht="18" customHeight="1">
      <c r="A156" s="317"/>
      <c r="B156" s="11">
        <v>2</v>
      </c>
      <c r="C156" s="11">
        <v>4</v>
      </c>
      <c r="D156" s="11">
        <v>21</v>
      </c>
      <c r="E156" s="10">
        <v>3</v>
      </c>
      <c r="F156" s="10"/>
      <c r="G156" s="75" t="s">
        <v>32</v>
      </c>
      <c r="H156" s="12">
        <f>RABPemberdayaanMasy!H565</f>
        <v>7000000</v>
      </c>
      <c r="I156" s="10"/>
    </row>
    <row r="157" spans="1:10" ht="36.75" customHeight="1">
      <c r="A157" s="317"/>
      <c r="B157" s="14">
        <v>2</v>
      </c>
      <c r="C157" s="14">
        <v>4</v>
      </c>
      <c r="D157" s="14">
        <v>22</v>
      </c>
      <c r="E157" s="9"/>
      <c r="F157" s="9"/>
      <c r="G157" s="343" t="s">
        <v>725</v>
      </c>
      <c r="H157" s="642">
        <f>SUM(H158+H159)</f>
        <v>17657000</v>
      </c>
      <c r="I157" s="9" t="s">
        <v>246</v>
      </c>
    </row>
    <row r="158" spans="1:10" ht="20.100000000000001" customHeight="1">
      <c r="A158" s="317"/>
      <c r="B158" s="11">
        <v>2</v>
      </c>
      <c r="C158" s="11">
        <v>4</v>
      </c>
      <c r="D158" s="11">
        <v>22</v>
      </c>
      <c r="E158" s="11">
        <v>2</v>
      </c>
      <c r="F158" s="11"/>
      <c r="G158" s="345" t="s">
        <v>34</v>
      </c>
      <c r="H158" s="12">
        <f>RABPemberdayaanMasy!H598</f>
        <v>17657000</v>
      </c>
      <c r="I158" s="10"/>
    </row>
    <row r="159" spans="1:10" ht="20.100000000000001" customHeight="1">
      <c r="A159" s="317"/>
      <c r="B159" s="11">
        <v>2</v>
      </c>
      <c r="C159" s="11">
        <v>4</v>
      </c>
      <c r="D159" s="11">
        <v>22</v>
      </c>
      <c r="E159" s="10">
        <v>3</v>
      </c>
      <c r="F159" s="10"/>
      <c r="G159" s="75" t="s">
        <v>32</v>
      </c>
      <c r="H159" s="12">
        <f>RABPemberdayaanMasy!H611</f>
        <v>0</v>
      </c>
      <c r="I159" s="10"/>
    </row>
    <row r="160" spans="1:10" ht="37.5" customHeight="1">
      <c r="A160" s="317"/>
      <c r="B160" s="14">
        <v>2</v>
      </c>
      <c r="C160" s="14">
        <v>4</v>
      </c>
      <c r="D160" s="14">
        <v>23</v>
      </c>
      <c r="E160" s="9"/>
      <c r="F160" s="9"/>
      <c r="G160" s="343" t="s">
        <v>726</v>
      </c>
      <c r="H160" s="642">
        <f>SUM(H161+H162)</f>
        <v>19957000</v>
      </c>
      <c r="I160" s="9" t="s">
        <v>246</v>
      </c>
    </row>
    <row r="161" spans="1:11" ht="20.100000000000001" customHeight="1">
      <c r="A161" s="317"/>
      <c r="B161" s="11">
        <v>2</v>
      </c>
      <c r="C161" s="11">
        <v>4</v>
      </c>
      <c r="D161" s="11">
        <v>23</v>
      </c>
      <c r="E161" s="11">
        <v>2</v>
      </c>
      <c r="F161" s="11"/>
      <c r="G161" s="345" t="s">
        <v>34</v>
      </c>
      <c r="H161" s="12">
        <f>RABPemberdayaanMasy!H640</f>
        <v>19957000</v>
      </c>
      <c r="I161" s="10"/>
    </row>
    <row r="162" spans="1:11" ht="20.100000000000001" customHeight="1">
      <c r="A162" s="317"/>
      <c r="B162" s="11">
        <v>2</v>
      </c>
      <c r="C162" s="11">
        <v>4</v>
      </c>
      <c r="D162" s="11">
        <v>23</v>
      </c>
      <c r="E162" s="10">
        <v>3</v>
      </c>
      <c r="F162" s="10"/>
      <c r="G162" s="75" t="s">
        <v>32</v>
      </c>
      <c r="H162" s="12">
        <f>RABPemberdayaanMasy!H653</f>
        <v>0</v>
      </c>
      <c r="I162" s="10"/>
    </row>
    <row r="163" spans="1:11" ht="48.75" customHeight="1">
      <c r="A163" s="317"/>
      <c r="B163" s="14">
        <v>2</v>
      </c>
      <c r="C163" s="14">
        <v>4</v>
      </c>
      <c r="D163" s="14">
        <v>24</v>
      </c>
      <c r="E163" s="9"/>
      <c r="F163" s="9"/>
      <c r="G163" s="669" t="s">
        <v>727</v>
      </c>
      <c r="H163" s="642">
        <f>SUM(H164+H165)</f>
        <v>3682000</v>
      </c>
      <c r="I163" s="10" t="s">
        <v>246</v>
      </c>
    </row>
    <row r="164" spans="1:11" ht="20.100000000000001" customHeight="1">
      <c r="A164" s="317"/>
      <c r="B164" s="11">
        <v>2</v>
      </c>
      <c r="C164" s="11">
        <v>4</v>
      </c>
      <c r="D164" s="11">
        <v>24</v>
      </c>
      <c r="E164" s="11">
        <v>2</v>
      </c>
      <c r="F164" s="11"/>
      <c r="G164" s="345" t="s">
        <v>34</v>
      </c>
      <c r="H164" s="12">
        <f>RABPemberdayaanMasy!H679</f>
        <v>3682000</v>
      </c>
      <c r="I164" s="10"/>
    </row>
    <row r="165" spans="1:11" ht="20.100000000000001" customHeight="1">
      <c r="A165" s="317"/>
      <c r="B165" s="11">
        <v>2</v>
      </c>
      <c r="C165" s="11">
        <v>4</v>
      </c>
      <c r="D165" s="11">
        <v>24</v>
      </c>
      <c r="E165" s="10">
        <v>3</v>
      </c>
      <c r="F165" s="10"/>
      <c r="G165" s="75" t="s">
        <v>32</v>
      </c>
      <c r="H165" s="12">
        <f>RABPemberdayaanMasy!H691</f>
        <v>0</v>
      </c>
      <c r="I165" s="10"/>
    </row>
    <row r="166" spans="1:11" ht="18" customHeight="1">
      <c r="A166" s="317"/>
      <c r="B166" s="11"/>
      <c r="C166" s="11"/>
      <c r="D166" s="11"/>
      <c r="E166" s="10"/>
      <c r="F166" s="10"/>
      <c r="G166" s="778"/>
      <c r="H166" s="12"/>
      <c r="I166" s="10"/>
    </row>
    <row r="167" spans="1:11" ht="33.75" customHeight="1">
      <c r="A167" s="317"/>
      <c r="B167" s="14">
        <v>2</v>
      </c>
      <c r="C167" s="14">
        <v>4</v>
      </c>
      <c r="D167" s="14">
        <v>25</v>
      </c>
      <c r="E167" s="9"/>
      <c r="F167" s="9"/>
      <c r="G167" s="661" t="s">
        <v>728</v>
      </c>
      <c r="H167" s="642">
        <f>SUM(H168+H169)</f>
        <v>7767000</v>
      </c>
      <c r="I167" s="10" t="s">
        <v>246</v>
      </c>
    </row>
    <row r="168" spans="1:11" ht="18" customHeight="1">
      <c r="A168" s="317"/>
      <c r="B168" s="11">
        <v>2</v>
      </c>
      <c r="C168" s="11">
        <v>4</v>
      </c>
      <c r="D168" s="11">
        <v>25</v>
      </c>
      <c r="E168" s="11">
        <v>2</v>
      </c>
      <c r="F168" s="11"/>
      <c r="G168" s="345" t="s">
        <v>34</v>
      </c>
      <c r="H168" s="12">
        <f>RABPemberdayaanMasy!H719</f>
        <v>5517000</v>
      </c>
      <c r="I168" s="10"/>
    </row>
    <row r="169" spans="1:11" ht="18" customHeight="1">
      <c r="A169" s="317"/>
      <c r="B169" s="11">
        <v>2</v>
      </c>
      <c r="C169" s="11">
        <v>4</v>
      </c>
      <c r="D169" s="11">
        <v>25</v>
      </c>
      <c r="E169" s="10">
        <v>3</v>
      </c>
      <c r="F169" s="10"/>
      <c r="G169" s="75" t="s">
        <v>32</v>
      </c>
      <c r="H169" s="12">
        <f>RABPemberdayaanMasy!H731</f>
        <v>2250000</v>
      </c>
      <c r="I169" s="10"/>
    </row>
    <row r="170" spans="1:11" ht="18" customHeight="1">
      <c r="A170" s="317"/>
      <c r="B170" s="14">
        <v>2</v>
      </c>
      <c r="C170" s="14">
        <v>5</v>
      </c>
      <c r="D170" s="14"/>
      <c r="E170" s="14"/>
      <c r="F170" s="14"/>
      <c r="G170" s="670" t="s">
        <v>42</v>
      </c>
      <c r="H170" s="12">
        <f>SUM(H171)</f>
        <v>0</v>
      </c>
      <c r="I170" s="11"/>
    </row>
    <row r="171" spans="1:11" ht="18" customHeight="1">
      <c r="A171" s="317"/>
      <c r="B171" s="11">
        <v>2</v>
      </c>
      <c r="C171" s="11">
        <v>5</v>
      </c>
      <c r="D171" s="11">
        <v>1</v>
      </c>
      <c r="E171" s="11"/>
      <c r="F171" s="11"/>
      <c r="G171" s="345" t="s">
        <v>43</v>
      </c>
      <c r="H171" s="12">
        <f>SUM(H172+H173)</f>
        <v>0</v>
      </c>
      <c r="I171" s="11"/>
    </row>
    <row r="172" spans="1:11" ht="18" customHeight="1">
      <c r="A172" s="317"/>
      <c r="B172" s="11">
        <v>2</v>
      </c>
      <c r="C172" s="11">
        <v>5</v>
      </c>
      <c r="D172" s="11">
        <v>1</v>
      </c>
      <c r="E172" s="11">
        <v>2</v>
      </c>
      <c r="F172" s="11"/>
      <c r="G172" s="345" t="s">
        <v>34</v>
      </c>
      <c r="H172" s="12">
        <v>0</v>
      </c>
      <c r="I172" s="11"/>
    </row>
    <row r="173" spans="1:11" ht="18" customHeight="1">
      <c r="A173" s="317"/>
      <c r="B173" s="11">
        <v>2</v>
      </c>
      <c r="C173" s="11">
        <v>5</v>
      </c>
      <c r="D173" s="11">
        <v>1</v>
      </c>
      <c r="E173" s="11">
        <v>3</v>
      </c>
      <c r="F173" s="11"/>
      <c r="G173" s="345" t="s">
        <v>32</v>
      </c>
      <c r="H173" s="12"/>
      <c r="I173" s="11"/>
    </row>
    <row r="174" spans="1:11" ht="18" customHeight="1">
      <c r="A174" s="317"/>
      <c r="B174" s="11"/>
      <c r="C174" s="11"/>
      <c r="D174" s="11"/>
      <c r="E174" s="11"/>
      <c r="F174" s="11"/>
      <c r="G174" s="670" t="s">
        <v>44</v>
      </c>
      <c r="H174" s="642">
        <f>SUM(H46+H73+H95+H108+H170)</f>
        <v>1510309700</v>
      </c>
      <c r="I174" s="11"/>
      <c r="K174" s="13">
        <f>SUM(H167+H163+H160+H157+H154+H148+H145+H142+H139+H136+H133+H130+H127+H124+H121+H115+H118+H112+H109+H92+H86+H83+H80+H77+H74+H66)</f>
        <v>831685272</v>
      </c>
    </row>
    <row r="175" spans="1:11" ht="18" customHeight="1">
      <c r="A175" s="317"/>
      <c r="B175" s="11"/>
      <c r="C175" s="11"/>
      <c r="D175" s="11"/>
      <c r="E175" s="11"/>
      <c r="F175" s="11"/>
      <c r="G175" s="670" t="s">
        <v>45</v>
      </c>
      <c r="H175" s="671">
        <f>SUM(H43-H174)</f>
        <v>0</v>
      </c>
      <c r="I175" s="11"/>
      <c r="K175" s="13">
        <v>3352728</v>
      </c>
    </row>
    <row r="176" spans="1:11" ht="18" customHeight="1">
      <c r="A176" s="317"/>
      <c r="B176" s="11">
        <v>3</v>
      </c>
      <c r="C176" s="11"/>
      <c r="D176" s="11"/>
      <c r="E176" s="11"/>
      <c r="F176" s="11"/>
      <c r="G176" s="670" t="s">
        <v>46</v>
      </c>
      <c r="H176" s="12"/>
      <c r="I176" s="11"/>
      <c r="K176" s="13">
        <f>SUM(K174:K175)</f>
        <v>835038000</v>
      </c>
    </row>
    <row r="177" spans="1:9" ht="18" customHeight="1">
      <c r="A177" s="317"/>
      <c r="B177" s="11">
        <v>3</v>
      </c>
      <c r="C177" s="11">
        <v>1</v>
      </c>
      <c r="D177" s="11"/>
      <c r="E177" s="11"/>
      <c r="F177" s="11"/>
      <c r="G177" s="670" t="s">
        <v>735</v>
      </c>
      <c r="H177" s="672">
        <v>0</v>
      </c>
      <c r="I177" s="11"/>
    </row>
    <row r="178" spans="1:9" ht="18" customHeight="1">
      <c r="A178" s="317"/>
      <c r="B178" s="11">
        <v>3</v>
      </c>
      <c r="C178" s="11">
        <v>1</v>
      </c>
      <c r="D178" s="11">
        <v>1</v>
      </c>
      <c r="E178" s="11"/>
      <c r="F178" s="11"/>
      <c r="G178" s="679" t="s">
        <v>985</v>
      </c>
      <c r="H178" s="672">
        <f>H175</f>
        <v>0</v>
      </c>
      <c r="I178" s="11"/>
    </row>
    <row r="179" spans="1:9" ht="18" customHeight="1">
      <c r="A179" s="317"/>
      <c r="B179" s="11">
        <v>3</v>
      </c>
      <c r="C179" s="11">
        <v>1</v>
      </c>
      <c r="D179" s="11">
        <v>2</v>
      </c>
      <c r="E179" s="11"/>
      <c r="F179" s="11"/>
      <c r="G179" s="673" t="s">
        <v>732</v>
      </c>
      <c r="H179" s="672">
        <v>0</v>
      </c>
      <c r="I179" s="11"/>
    </row>
    <row r="180" spans="1:9" ht="18" customHeight="1">
      <c r="A180" s="317"/>
      <c r="B180" s="11">
        <v>3</v>
      </c>
      <c r="C180" s="11">
        <v>1</v>
      </c>
      <c r="D180" s="11">
        <v>3</v>
      </c>
      <c r="E180" s="11"/>
      <c r="F180" s="11"/>
      <c r="G180" s="673" t="s">
        <v>733</v>
      </c>
      <c r="H180" s="672">
        <v>0</v>
      </c>
      <c r="I180" s="11"/>
    </row>
    <row r="181" spans="1:9" ht="18" customHeight="1">
      <c r="A181" s="317"/>
      <c r="B181" s="11">
        <v>3</v>
      </c>
      <c r="C181" s="11">
        <v>2</v>
      </c>
      <c r="D181" s="11"/>
      <c r="E181" s="11"/>
      <c r="F181" s="11"/>
      <c r="G181" s="670" t="s">
        <v>734</v>
      </c>
      <c r="H181" s="672">
        <f>SUM(H177:H180)</f>
        <v>0</v>
      </c>
      <c r="I181" s="11"/>
    </row>
    <row r="182" spans="1:9" ht="18" customHeight="1">
      <c r="A182" s="317"/>
      <c r="B182" s="11">
        <v>3</v>
      </c>
      <c r="C182" s="11">
        <v>2</v>
      </c>
      <c r="D182" s="11">
        <v>1</v>
      </c>
      <c r="E182" s="11"/>
      <c r="F182" s="11"/>
      <c r="G182" s="345" t="s">
        <v>47</v>
      </c>
      <c r="H182" s="672">
        <v>0</v>
      </c>
      <c r="I182" s="11"/>
    </row>
    <row r="183" spans="1:9" ht="18" customHeight="1">
      <c r="A183" s="317"/>
      <c r="B183" s="11">
        <v>3</v>
      </c>
      <c r="C183" s="11">
        <v>2</v>
      </c>
      <c r="D183" s="11">
        <v>2</v>
      </c>
      <c r="E183" s="11"/>
      <c r="F183" s="11"/>
      <c r="G183" s="345" t="s">
        <v>48</v>
      </c>
      <c r="H183" s="672">
        <f>H181</f>
        <v>0</v>
      </c>
      <c r="I183" s="11"/>
    </row>
    <row r="184" spans="1:9" ht="18" customHeight="1">
      <c r="A184" s="317"/>
      <c r="B184" s="11"/>
      <c r="C184" s="11"/>
      <c r="D184" s="11"/>
      <c r="E184" s="11"/>
      <c r="F184" s="11"/>
      <c r="G184" s="670" t="s">
        <v>49</v>
      </c>
      <c r="H184" s="672">
        <f>SUM(H181-H182-H183)</f>
        <v>0</v>
      </c>
      <c r="I184" s="11"/>
    </row>
    <row r="185" spans="1:9" ht="18" customHeight="1">
      <c r="H185" s="16" t="s">
        <v>982</v>
      </c>
      <c r="I185" s="16"/>
    </row>
    <row r="186" spans="1:9" ht="18" customHeight="1">
      <c r="H186" s="2" t="s">
        <v>50</v>
      </c>
      <c r="I186" s="2"/>
    </row>
    <row r="190" spans="1:9" ht="18" customHeight="1">
      <c r="I190" s="270" t="s">
        <v>51</v>
      </c>
    </row>
    <row r="191" spans="1:9" ht="18" customHeight="1">
      <c r="B191" s="17"/>
    </row>
    <row r="192" spans="1:9" ht="18" customHeight="1">
      <c r="H192" s="805"/>
      <c r="I192" s="805"/>
    </row>
    <row r="193" spans="2:9" ht="18" customHeight="1">
      <c r="H193" s="805"/>
      <c r="I193" s="805"/>
    </row>
    <row r="194" spans="2:9" ht="18" customHeight="1">
      <c r="B194" s="17"/>
    </row>
    <row r="195" spans="2:9" ht="18" customHeight="1">
      <c r="B195" s="17"/>
    </row>
  </sheetData>
  <mergeCells count="8">
    <mergeCell ref="B8:F8"/>
    <mergeCell ref="B6:F7"/>
    <mergeCell ref="J46:O46"/>
    <mergeCell ref="H192:I192"/>
    <mergeCell ref="H193:I193"/>
    <mergeCell ref="G6:G7"/>
    <mergeCell ref="H6:H7"/>
    <mergeCell ref="I6:I7"/>
  </mergeCells>
  <pageMargins left="0.7" right="0" top="1.5" bottom="1.5" header="0.3" footer="0.3"/>
  <pageSetup paperSize="256" scale="90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M303"/>
  <sheetViews>
    <sheetView topLeftCell="A304" workbookViewId="0">
      <selection activeCell="L141" sqref="L141"/>
    </sheetView>
  </sheetViews>
  <sheetFormatPr defaultRowHeight="14.25"/>
  <cols>
    <col min="1" max="1" width="2.7109375" style="29" customWidth="1"/>
    <col min="2" max="2" width="9.140625" style="29"/>
    <col min="3" max="3" width="13.5703125" style="29" customWidth="1"/>
    <col min="4" max="4" width="6" style="29" customWidth="1"/>
    <col min="5" max="5" width="15" style="29" customWidth="1"/>
    <col min="6" max="6" width="5.5703125" style="29" customWidth="1"/>
    <col min="7" max="7" width="5.140625" style="29" customWidth="1"/>
    <col min="8" max="8" width="4.7109375" style="29" customWidth="1"/>
    <col min="9" max="9" width="12.85546875" style="29" customWidth="1"/>
    <col min="10" max="10" width="15.5703125" style="29" customWidth="1"/>
    <col min="11" max="11" width="4.5703125" style="29" customWidth="1"/>
    <col min="12" max="12" width="18" style="29" customWidth="1"/>
    <col min="13" max="13" width="10.7109375" style="29" customWidth="1"/>
    <col min="14" max="16384" width="9.140625" style="29"/>
  </cols>
  <sheetData>
    <row r="1" spans="1:13" ht="15">
      <c r="A1" s="862" t="s">
        <v>54</v>
      </c>
      <c r="B1" s="862"/>
      <c r="C1" s="862"/>
      <c r="D1" s="862"/>
      <c r="E1" s="862"/>
      <c r="F1" s="862"/>
      <c r="G1" s="862"/>
      <c r="H1" s="862"/>
      <c r="I1" s="862"/>
      <c r="J1" s="862"/>
    </row>
    <row r="2" spans="1:13" ht="15">
      <c r="A2" s="862" t="s">
        <v>55</v>
      </c>
      <c r="B2" s="862"/>
      <c r="C2" s="862"/>
      <c r="D2" s="862"/>
      <c r="E2" s="862"/>
      <c r="F2" s="862"/>
      <c r="G2" s="862"/>
      <c r="H2" s="862"/>
      <c r="I2" s="862"/>
      <c r="J2" s="862"/>
    </row>
    <row r="3" spans="1:13" ht="15">
      <c r="A3" s="862" t="s">
        <v>914</v>
      </c>
      <c r="B3" s="862"/>
      <c r="C3" s="862"/>
      <c r="D3" s="862"/>
      <c r="E3" s="862"/>
      <c r="F3" s="862"/>
      <c r="G3" s="862"/>
      <c r="H3" s="862"/>
      <c r="I3" s="862"/>
      <c r="J3" s="862"/>
    </row>
    <row r="4" spans="1:13" ht="9" customHeight="1">
      <c r="A4" s="282"/>
      <c r="B4" s="282"/>
      <c r="C4" s="282"/>
      <c r="D4" s="282"/>
      <c r="E4" s="282"/>
      <c r="F4" s="282"/>
      <c r="G4" s="282"/>
      <c r="H4" s="282"/>
      <c r="I4" s="282"/>
      <c r="J4" s="282"/>
    </row>
    <row r="5" spans="1:13">
      <c r="A5" s="287">
        <v>1</v>
      </c>
      <c r="B5" s="30" t="s">
        <v>172</v>
      </c>
      <c r="C5" s="30"/>
      <c r="D5" s="30" t="s">
        <v>235</v>
      </c>
      <c r="E5" s="30"/>
      <c r="F5" s="31"/>
      <c r="G5" s="31"/>
      <c r="H5" s="31"/>
      <c r="I5" s="30"/>
      <c r="J5" s="30"/>
    </row>
    <row r="6" spans="1:13">
      <c r="A6" s="287">
        <v>2</v>
      </c>
      <c r="B6" s="30" t="s">
        <v>173</v>
      </c>
      <c r="C6" s="30"/>
      <c r="D6" s="30" t="s">
        <v>239</v>
      </c>
      <c r="E6" s="30"/>
      <c r="F6" s="31"/>
      <c r="G6" s="31"/>
      <c r="H6" s="31"/>
      <c r="I6" s="30"/>
      <c r="J6" s="30"/>
    </row>
    <row r="7" spans="1:13">
      <c r="A7" s="287">
        <v>3</v>
      </c>
      <c r="B7" s="30" t="s">
        <v>174</v>
      </c>
      <c r="C7" s="30"/>
      <c r="D7" s="535" t="s">
        <v>923</v>
      </c>
      <c r="E7" s="30"/>
      <c r="F7" s="31"/>
      <c r="G7" s="31"/>
      <c r="H7" s="31"/>
      <c r="I7" s="30"/>
      <c r="J7" s="30"/>
    </row>
    <row r="8" spans="1:13">
      <c r="A8" s="287">
        <v>4</v>
      </c>
      <c r="B8" s="30" t="s">
        <v>183</v>
      </c>
      <c r="C8" s="30"/>
      <c r="D8" s="30" t="s">
        <v>187</v>
      </c>
      <c r="E8" s="30"/>
      <c r="F8" s="31"/>
      <c r="G8" s="31"/>
      <c r="H8" s="31"/>
      <c r="I8" s="30"/>
      <c r="J8" s="30"/>
      <c r="L8" s="32">
        <v>15000000</v>
      </c>
      <c r="M8" s="33" t="s">
        <v>229</v>
      </c>
    </row>
    <row r="9" spans="1:13" ht="17.25" customHeight="1">
      <c r="A9" s="287">
        <v>5</v>
      </c>
      <c r="B9" s="30" t="s">
        <v>184</v>
      </c>
      <c r="C9" s="30"/>
      <c r="D9" s="30" t="s">
        <v>236</v>
      </c>
      <c r="E9" s="431">
        <f>J15</f>
        <v>323671608</v>
      </c>
      <c r="F9" s="34"/>
      <c r="G9" s="31"/>
      <c r="H9" s="31"/>
      <c r="I9" s="30"/>
      <c r="J9" s="30"/>
      <c r="L9" s="32"/>
    </row>
    <row r="10" spans="1:13">
      <c r="A10" s="287">
        <v>6</v>
      </c>
      <c r="B10" s="30" t="s">
        <v>234</v>
      </c>
      <c r="C10" s="30"/>
      <c r="D10" s="30" t="s">
        <v>236</v>
      </c>
      <c r="E10" s="431">
        <f>J15</f>
        <v>323671608</v>
      </c>
      <c r="F10" s="31"/>
      <c r="G10" s="31"/>
      <c r="H10" s="31"/>
      <c r="I10" s="30"/>
      <c r="J10" s="30"/>
      <c r="L10" s="32">
        <v>13600000</v>
      </c>
      <c r="M10" s="33" t="s">
        <v>228</v>
      </c>
    </row>
    <row r="11" spans="1:13" ht="16.5" customHeight="1">
      <c r="A11" s="287"/>
      <c r="B11" s="30" t="s">
        <v>194</v>
      </c>
      <c r="C11" s="30"/>
      <c r="D11" s="30"/>
      <c r="E11" s="30"/>
      <c r="F11" s="31"/>
      <c r="G11" s="31"/>
      <c r="H11" s="31"/>
      <c r="I11" s="30"/>
      <c r="J11" s="30"/>
    </row>
    <row r="12" spans="1:13" ht="28.5">
      <c r="A12" s="30"/>
      <c r="B12" s="866" t="s">
        <v>56</v>
      </c>
      <c r="C12" s="852" t="s">
        <v>0</v>
      </c>
      <c r="D12" s="853"/>
      <c r="E12" s="854"/>
      <c r="F12" s="852" t="s">
        <v>57</v>
      </c>
      <c r="G12" s="887"/>
      <c r="H12" s="888"/>
      <c r="I12" s="193" t="s">
        <v>58</v>
      </c>
      <c r="J12" s="193" t="s">
        <v>59</v>
      </c>
      <c r="L12" s="35">
        <f>394448112*60%</f>
        <v>236668867.19999999</v>
      </c>
      <c r="M12" s="36" t="s">
        <v>227</v>
      </c>
    </row>
    <row r="13" spans="1:13">
      <c r="A13" s="30"/>
      <c r="B13" s="879"/>
      <c r="C13" s="855"/>
      <c r="D13" s="856"/>
      <c r="E13" s="857"/>
      <c r="F13" s="777" t="s">
        <v>630</v>
      </c>
      <c r="G13" s="777" t="s">
        <v>631</v>
      </c>
      <c r="H13" s="777" t="s">
        <v>632</v>
      </c>
      <c r="I13" s="37" t="s">
        <v>52</v>
      </c>
      <c r="J13" s="37" t="s">
        <v>52</v>
      </c>
      <c r="L13" s="38">
        <f>SUM(L8:L12)</f>
        <v>265268867.19999999</v>
      </c>
      <c r="M13" s="39" t="s">
        <v>226</v>
      </c>
    </row>
    <row r="14" spans="1:13">
      <c r="A14" s="30"/>
      <c r="B14" s="188">
        <v>1</v>
      </c>
      <c r="C14" s="844">
        <v>2</v>
      </c>
      <c r="D14" s="842"/>
      <c r="E14" s="843"/>
      <c r="F14" s="844">
        <v>3</v>
      </c>
      <c r="G14" s="842"/>
      <c r="H14" s="843"/>
      <c r="I14" s="40">
        <v>4</v>
      </c>
      <c r="J14" s="37">
        <v>5</v>
      </c>
    </row>
    <row r="15" spans="1:13" ht="15">
      <c r="A15" s="30"/>
      <c r="B15" s="41" t="s">
        <v>60</v>
      </c>
      <c r="C15" s="868" t="s">
        <v>61</v>
      </c>
      <c r="D15" s="842"/>
      <c r="E15" s="843"/>
      <c r="F15" s="880"/>
      <c r="G15" s="881"/>
      <c r="H15" s="882"/>
      <c r="I15" s="190"/>
      <c r="J15" s="42">
        <f>SUM(J16+J24+J31+J39+J44+J48+J69+J70)</f>
        <v>323671608</v>
      </c>
    </row>
    <row r="16" spans="1:13" ht="32.25" customHeight="1">
      <c r="A16" s="30"/>
      <c r="B16" s="43"/>
      <c r="C16" s="849" t="s">
        <v>62</v>
      </c>
      <c r="D16" s="842"/>
      <c r="E16" s="843"/>
      <c r="F16" s="883"/>
      <c r="G16" s="842"/>
      <c r="H16" s="843"/>
      <c r="I16" s="44"/>
      <c r="J16" s="45">
        <f>SUM(J17:J23)</f>
        <v>236496000</v>
      </c>
      <c r="L16" s="35" t="e">
        <f>SUM(J16+J39+J44+J69+J70+#REF!)</f>
        <v>#REF!</v>
      </c>
    </row>
    <row r="17" spans="1:12" ht="14.25" customHeight="1">
      <c r="A17" s="30"/>
      <c r="B17" s="46"/>
      <c r="C17" s="847" t="s">
        <v>63</v>
      </c>
      <c r="D17" s="842"/>
      <c r="E17" s="843"/>
      <c r="F17" s="277">
        <v>1</v>
      </c>
      <c r="G17" s="278" t="s">
        <v>64</v>
      </c>
      <c r="H17" s="279">
        <v>12</v>
      </c>
      <c r="I17" s="47">
        <v>2600000</v>
      </c>
      <c r="J17" s="48">
        <f t="shared" ref="J17:J23" si="0">F17*H17*I17</f>
        <v>31200000</v>
      </c>
    </row>
    <row r="18" spans="1:12" ht="14.25" customHeight="1">
      <c r="A18" s="30"/>
      <c r="B18" s="46"/>
      <c r="C18" s="850" t="s">
        <v>66</v>
      </c>
      <c r="D18" s="842"/>
      <c r="E18" s="843"/>
      <c r="F18" s="277">
        <v>1</v>
      </c>
      <c r="G18" s="278" t="s">
        <v>64</v>
      </c>
      <c r="H18" s="279">
        <v>12</v>
      </c>
      <c r="I18" s="47">
        <f>I17*70%</f>
        <v>1820000</v>
      </c>
      <c r="J18" s="48">
        <f t="shared" si="0"/>
        <v>21840000</v>
      </c>
    </row>
    <row r="19" spans="1:12" ht="14.25" customHeight="1">
      <c r="A19" s="30"/>
      <c r="B19" s="46"/>
      <c r="C19" s="869" t="s">
        <v>371</v>
      </c>
      <c r="D19" s="842"/>
      <c r="E19" s="843"/>
      <c r="F19" s="277">
        <v>1</v>
      </c>
      <c r="G19" s="278" t="s">
        <v>64</v>
      </c>
      <c r="H19" s="279">
        <v>12</v>
      </c>
      <c r="I19" s="47">
        <f>I17*56%</f>
        <v>1456000.0000000002</v>
      </c>
      <c r="J19" s="48">
        <f t="shared" si="0"/>
        <v>17472000.000000004</v>
      </c>
    </row>
    <row r="20" spans="1:12" ht="14.25" customHeight="1">
      <c r="A20" s="30"/>
      <c r="B20" s="46"/>
      <c r="C20" s="869" t="s">
        <v>372</v>
      </c>
      <c r="D20" s="842"/>
      <c r="E20" s="843"/>
      <c r="F20" s="277">
        <v>1</v>
      </c>
      <c r="G20" s="278" t="s">
        <v>64</v>
      </c>
      <c r="H20" s="279">
        <v>12</v>
      </c>
      <c r="I20" s="47">
        <f>I17*54%</f>
        <v>1404000</v>
      </c>
      <c r="J20" s="48">
        <f t="shared" si="0"/>
        <v>16848000</v>
      </c>
    </row>
    <row r="21" spans="1:12">
      <c r="A21" s="30"/>
      <c r="B21" s="46"/>
      <c r="C21" s="870" t="s">
        <v>373</v>
      </c>
      <c r="D21" s="842"/>
      <c r="E21" s="843"/>
      <c r="F21" s="277">
        <v>1</v>
      </c>
      <c r="G21" s="278" t="s">
        <v>64</v>
      </c>
      <c r="H21" s="279">
        <v>12</v>
      </c>
      <c r="I21" s="47">
        <f>I17*50%</f>
        <v>1300000</v>
      </c>
      <c r="J21" s="48">
        <f t="shared" si="0"/>
        <v>15600000</v>
      </c>
    </row>
    <row r="22" spans="1:12">
      <c r="A22" s="30"/>
      <c r="B22" s="46"/>
      <c r="C22" s="870" t="s">
        <v>192</v>
      </c>
      <c r="D22" s="842"/>
      <c r="E22" s="843"/>
      <c r="F22" s="277">
        <v>3</v>
      </c>
      <c r="G22" s="278" t="s">
        <v>64</v>
      </c>
      <c r="H22" s="279">
        <v>12</v>
      </c>
      <c r="I22" s="47">
        <f>I17*56%</f>
        <v>1456000.0000000002</v>
      </c>
      <c r="J22" s="48">
        <f t="shared" si="0"/>
        <v>52416000.000000007</v>
      </c>
    </row>
    <row r="23" spans="1:12" ht="14.25" customHeight="1">
      <c r="A23" s="30"/>
      <c r="B23" s="46"/>
      <c r="C23" s="850" t="s">
        <v>193</v>
      </c>
      <c r="D23" s="842"/>
      <c r="E23" s="843"/>
      <c r="F23" s="277">
        <v>5</v>
      </c>
      <c r="G23" s="278" t="s">
        <v>64</v>
      </c>
      <c r="H23" s="279">
        <v>12</v>
      </c>
      <c r="I23" s="47">
        <f>I17*52%</f>
        <v>1352000</v>
      </c>
      <c r="J23" s="48">
        <f t="shared" si="0"/>
        <v>81120000</v>
      </c>
    </row>
    <row r="24" spans="1:12" ht="47.25" customHeight="1">
      <c r="A24" s="30"/>
      <c r="B24" s="46"/>
      <c r="C24" s="874" t="s">
        <v>65</v>
      </c>
      <c r="D24" s="842"/>
      <c r="E24" s="843"/>
      <c r="F24" s="283"/>
      <c r="G24" s="292"/>
      <c r="H24" s="293"/>
      <c r="I24" s="49"/>
      <c r="J24" s="50">
        <v>13600000</v>
      </c>
    </row>
    <row r="25" spans="1:12" ht="14.25" customHeight="1">
      <c r="A25" s="30"/>
      <c r="B25" s="46"/>
      <c r="C25" s="847" t="s">
        <v>63</v>
      </c>
      <c r="D25" s="842"/>
      <c r="E25" s="843"/>
      <c r="F25" s="277">
        <v>1</v>
      </c>
      <c r="G25" s="278" t="s">
        <v>64</v>
      </c>
      <c r="H25" s="279">
        <v>12</v>
      </c>
      <c r="I25" s="47">
        <v>142000</v>
      </c>
      <c r="J25" s="48">
        <f>F25*H25*I25</f>
        <v>1704000</v>
      </c>
    </row>
    <row r="26" spans="1:12" ht="14.25" customHeight="1">
      <c r="A26" s="30"/>
      <c r="B26" s="46"/>
      <c r="C26" s="869" t="s">
        <v>66</v>
      </c>
      <c r="D26" s="842"/>
      <c r="E26" s="843"/>
      <c r="F26" s="277">
        <v>1</v>
      </c>
      <c r="G26" s="278" t="s">
        <v>64</v>
      </c>
      <c r="H26" s="279">
        <v>12</v>
      </c>
      <c r="I26" s="47">
        <f>I25*70%</f>
        <v>99400</v>
      </c>
      <c r="J26" s="48">
        <f>F26*H26*I26</f>
        <v>1192800</v>
      </c>
    </row>
    <row r="27" spans="1:12" ht="14.25" customHeight="1">
      <c r="A27" s="30"/>
      <c r="B27" s="46"/>
      <c r="C27" s="850" t="s">
        <v>190</v>
      </c>
      <c r="D27" s="842"/>
      <c r="E27" s="843"/>
      <c r="F27" s="277">
        <v>2</v>
      </c>
      <c r="G27" s="278" t="s">
        <v>64</v>
      </c>
      <c r="H27" s="279">
        <v>12</v>
      </c>
      <c r="I27" s="47">
        <f>I25*60%</f>
        <v>85200</v>
      </c>
      <c r="J27" s="48">
        <f>F27*H27*I27</f>
        <v>2044800</v>
      </c>
    </row>
    <row r="28" spans="1:12">
      <c r="A28" s="30"/>
      <c r="B28" s="46"/>
      <c r="C28" s="850" t="s">
        <v>191</v>
      </c>
      <c r="D28" s="842"/>
      <c r="E28" s="843"/>
      <c r="F28" s="277">
        <v>1</v>
      </c>
      <c r="G28" s="278" t="s">
        <v>64</v>
      </c>
      <c r="H28" s="279">
        <v>12</v>
      </c>
      <c r="I28" s="47">
        <f>I25*50%</f>
        <v>71000</v>
      </c>
      <c r="J28" s="48">
        <f>F28*H28*I28</f>
        <v>852000</v>
      </c>
    </row>
    <row r="29" spans="1:12" ht="14.25" customHeight="1">
      <c r="A29" s="30"/>
      <c r="B29" s="46"/>
      <c r="C29" s="850" t="s">
        <v>192</v>
      </c>
      <c r="D29" s="842"/>
      <c r="E29" s="843"/>
      <c r="F29" s="277">
        <v>3</v>
      </c>
      <c r="G29" s="278" t="s">
        <v>64</v>
      </c>
      <c r="H29" s="279">
        <v>12</v>
      </c>
      <c r="I29" s="47">
        <f>I25*60%</f>
        <v>85200</v>
      </c>
      <c r="J29" s="48">
        <f>SUM(F29*H29*I29)</f>
        <v>3067200</v>
      </c>
    </row>
    <row r="30" spans="1:12" ht="14.25" customHeight="1">
      <c r="A30" s="30"/>
      <c r="B30" s="46"/>
      <c r="C30" s="869" t="s">
        <v>193</v>
      </c>
      <c r="D30" s="842"/>
      <c r="E30" s="843"/>
      <c r="F30" s="277">
        <v>5</v>
      </c>
      <c r="G30" s="278" t="s">
        <v>64</v>
      </c>
      <c r="H30" s="279">
        <v>12</v>
      </c>
      <c r="I30" s="47">
        <f>I25*56%</f>
        <v>79520.000000000015</v>
      </c>
      <c r="J30" s="48">
        <f>F30*H30*I30</f>
        <v>4771200.0000000009</v>
      </c>
    </row>
    <row r="31" spans="1:12" ht="47.25" customHeight="1">
      <c r="A31" s="30"/>
      <c r="B31" s="46"/>
      <c r="C31" s="884" t="s">
        <v>939</v>
      </c>
      <c r="D31" s="872"/>
      <c r="E31" s="873"/>
      <c r="F31" s="767"/>
      <c r="G31" s="768"/>
      <c r="H31" s="769"/>
      <c r="I31" s="770"/>
      <c r="J31" s="771">
        <f>SUM(J32:J38)</f>
        <v>15000000</v>
      </c>
    </row>
    <row r="32" spans="1:12" ht="14.25" customHeight="1">
      <c r="A32" s="30"/>
      <c r="B32" s="46"/>
      <c r="C32" s="885" t="s">
        <v>63</v>
      </c>
      <c r="D32" s="872"/>
      <c r="E32" s="873"/>
      <c r="F32" s="772">
        <v>1</v>
      </c>
      <c r="G32" s="773" t="s">
        <v>64</v>
      </c>
      <c r="H32" s="774">
        <v>1</v>
      </c>
      <c r="I32" s="775">
        <v>3000000</v>
      </c>
      <c r="J32" s="776">
        <f>F32*H32*I32</f>
        <v>3000000</v>
      </c>
      <c r="L32" s="32">
        <f>SUM(J32:J38)</f>
        <v>15000000</v>
      </c>
    </row>
    <row r="33" spans="1:13" ht="14.25" customHeight="1">
      <c r="A33" s="30"/>
      <c r="B33" s="46"/>
      <c r="C33" s="871" t="s">
        <v>66</v>
      </c>
      <c r="D33" s="872"/>
      <c r="E33" s="873"/>
      <c r="F33" s="772">
        <v>1</v>
      </c>
      <c r="G33" s="773" t="s">
        <v>64</v>
      </c>
      <c r="H33" s="774">
        <v>1</v>
      </c>
      <c r="I33" s="775">
        <v>1500000</v>
      </c>
      <c r="J33" s="776">
        <f>F33*H33*I33</f>
        <v>1500000</v>
      </c>
    </row>
    <row r="34" spans="1:13" ht="14.25" customHeight="1">
      <c r="A34" s="30"/>
      <c r="B34" s="46"/>
      <c r="C34" s="886" t="s">
        <v>190</v>
      </c>
      <c r="D34" s="872"/>
      <c r="E34" s="873"/>
      <c r="F34" s="772">
        <v>2</v>
      </c>
      <c r="G34" s="773" t="s">
        <v>64</v>
      </c>
      <c r="H34" s="774">
        <v>1</v>
      </c>
      <c r="I34" s="775">
        <v>1150000</v>
      </c>
      <c r="J34" s="776">
        <f>F34*H34*I34</f>
        <v>2300000</v>
      </c>
    </row>
    <row r="35" spans="1:13">
      <c r="A35" s="30"/>
      <c r="B35" s="46"/>
      <c r="C35" s="886" t="s">
        <v>191</v>
      </c>
      <c r="D35" s="872"/>
      <c r="E35" s="873"/>
      <c r="F35" s="772">
        <v>1</v>
      </c>
      <c r="G35" s="773" t="s">
        <v>64</v>
      </c>
      <c r="H35" s="774">
        <v>1</v>
      </c>
      <c r="I35" s="775">
        <v>900000</v>
      </c>
      <c r="J35" s="776">
        <f>F35*H35*I35</f>
        <v>900000</v>
      </c>
    </row>
    <row r="36" spans="1:13" ht="14.25" customHeight="1">
      <c r="A36" s="30"/>
      <c r="B36" s="46"/>
      <c r="C36" s="886" t="s">
        <v>192</v>
      </c>
      <c r="D36" s="872"/>
      <c r="E36" s="873"/>
      <c r="F36" s="772">
        <v>3</v>
      </c>
      <c r="G36" s="773" t="s">
        <v>64</v>
      </c>
      <c r="H36" s="774">
        <v>1</v>
      </c>
      <c r="I36" s="775">
        <v>1100000</v>
      </c>
      <c r="J36" s="776">
        <f>SUM(F36*H36*I36)</f>
        <v>3300000</v>
      </c>
    </row>
    <row r="37" spans="1:13" ht="14.25" customHeight="1">
      <c r="A37" s="30"/>
      <c r="B37" s="46"/>
      <c r="C37" s="871" t="s">
        <v>193</v>
      </c>
      <c r="D37" s="872"/>
      <c r="E37" s="873"/>
      <c r="F37" s="772">
        <v>5</v>
      </c>
      <c r="G37" s="773" t="s">
        <v>64</v>
      </c>
      <c r="H37" s="774">
        <v>1</v>
      </c>
      <c r="I37" s="775">
        <v>800000</v>
      </c>
      <c r="J37" s="776">
        <f>F37*H37*I37</f>
        <v>4000000</v>
      </c>
    </row>
    <row r="38" spans="1:13">
      <c r="A38" s="30"/>
      <c r="B38" s="46"/>
      <c r="C38" s="871" t="s">
        <v>205</v>
      </c>
      <c r="D38" s="872"/>
      <c r="E38" s="873"/>
      <c r="F38" s="772"/>
      <c r="G38" s="773"/>
      <c r="H38" s="774"/>
      <c r="I38" s="775">
        <v>0</v>
      </c>
      <c r="J38" s="776"/>
    </row>
    <row r="39" spans="1:13" ht="15">
      <c r="A39" s="30"/>
      <c r="B39" s="46"/>
      <c r="C39" s="846" t="s">
        <v>24</v>
      </c>
      <c r="D39" s="842"/>
      <c r="E39" s="843"/>
      <c r="F39" s="277"/>
      <c r="G39" s="278"/>
      <c r="H39" s="279"/>
      <c r="I39" s="49">
        <f>SUM(I40:I43)</f>
        <v>830000</v>
      </c>
      <c r="J39" s="45">
        <f>J40+J41+J42+J43</f>
        <v>19620000</v>
      </c>
    </row>
    <row r="40" spans="1:13">
      <c r="A40" s="30"/>
      <c r="B40" s="46"/>
      <c r="C40" s="847" t="s">
        <v>67</v>
      </c>
      <c r="D40" s="842"/>
      <c r="E40" s="843"/>
      <c r="F40" s="277">
        <v>1</v>
      </c>
      <c r="G40" s="278" t="s">
        <v>64</v>
      </c>
      <c r="H40" s="279">
        <v>12</v>
      </c>
      <c r="I40" s="47">
        <v>300000</v>
      </c>
      <c r="J40" s="48">
        <f>F40*H40*I40</f>
        <v>3600000</v>
      </c>
    </row>
    <row r="41" spans="1:13">
      <c r="A41" s="30"/>
      <c r="B41" s="46"/>
      <c r="C41" s="851" t="s">
        <v>68</v>
      </c>
      <c r="D41" s="842"/>
      <c r="E41" s="843"/>
      <c r="F41" s="277">
        <v>1</v>
      </c>
      <c r="G41" s="278" t="s">
        <v>64</v>
      </c>
      <c r="H41" s="279">
        <v>12</v>
      </c>
      <c r="I41" s="47">
        <v>250000</v>
      </c>
      <c r="J41" s="48">
        <f>F41*H41*I41</f>
        <v>3000000</v>
      </c>
    </row>
    <row r="42" spans="1:13">
      <c r="A42" s="30"/>
      <c r="B42" s="46"/>
      <c r="C42" s="851" t="s">
        <v>69</v>
      </c>
      <c r="D42" s="842"/>
      <c r="E42" s="843"/>
      <c r="F42" s="277">
        <v>1</v>
      </c>
      <c r="G42" s="278" t="s">
        <v>64</v>
      </c>
      <c r="H42" s="279">
        <v>12</v>
      </c>
      <c r="I42" s="47">
        <v>165000</v>
      </c>
      <c r="J42" s="48">
        <f>F42*H42*I42</f>
        <v>1980000</v>
      </c>
    </row>
    <row r="43" spans="1:13">
      <c r="A43" s="30"/>
      <c r="B43" s="46"/>
      <c r="C43" s="847" t="s">
        <v>70</v>
      </c>
      <c r="D43" s="842"/>
      <c r="E43" s="843"/>
      <c r="F43" s="277">
        <v>8</v>
      </c>
      <c r="G43" s="278" t="s">
        <v>64</v>
      </c>
      <c r="H43" s="279">
        <v>12</v>
      </c>
      <c r="I43" s="47">
        <v>115000</v>
      </c>
      <c r="J43" s="48">
        <f>F43*H43*I43</f>
        <v>11040000</v>
      </c>
    </row>
    <row r="44" spans="1:13" ht="15">
      <c r="A44" s="30"/>
      <c r="B44" s="46"/>
      <c r="C44" s="846" t="s">
        <v>25</v>
      </c>
      <c r="D44" s="842"/>
      <c r="E44" s="843"/>
      <c r="F44" s="277"/>
      <c r="G44" s="278"/>
      <c r="H44" s="279"/>
      <c r="I44" s="47"/>
      <c r="J44" s="45">
        <f>SUM(J45:J47)</f>
        <v>4961048</v>
      </c>
      <c r="L44" s="29" t="s">
        <v>633</v>
      </c>
    </row>
    <row r="45" spans="1:13">
      <c r="A45" s="30"/>
      <c r="B45" s="46"/>
      <c r="C45" s="847" t="s">
        <v>71</v>
      </c>
      <c r="D45" s="842"/>
      <c r="E45" s="843"/>
      <c r="F45" s="277">
        <v>1</v>
      </c>
      <c r="G45" s="278" t="s">
        <v>64</v>
      </c>
      <c r="H45" s="279">
        <v>8</v>
      </c>
      <c r="I45" s="47">
        <v>78000</v>
      </c>
      <c r="J45" s="48">
        <f>SUM(F45*H45*I45)</f>
        <v>624000</v>
      </c>
      <c r="L45" s="32">
        <v>34000</v>
      </c>
      <c r="M45" s="432">
        <f>I45+L45</f>
        <v>112000</v>
      </c>
    </row>
    <row r="46" spans="1:13">
      <c r="A46" s="501"/>
      <c r="B46" s="46"/>
      <c r="C46" s="847" t="s">
        <v>181</v>
      </c>
      <c r="D46" s="890"/>
      <c r="E46" s="891"/>
      <c r="F46" s="296">
        <v>1</v>
      </c>
      <c r="G46" s="297" t="s">
        <v>64</v>
      </c>
      <c r="H46" s="298">
        <v>8</v>
      </c>
      <c r="I46" s="47">
        <v>54600</v>
      </c>
      <c r="J46" s="48">
        <f>SUM(F46*H46*I46)</f>
        <v>436800</v>
      </c>
      <c r="L46" s="32"/>
      <c r="M46" s="432"/>
    </row>
    <row r="47" spans="1:13">
      <c r="A47" s="30"/>
      <c r="B47" s="46"/>
      <c r="C47" s="851" t="s">
        <v>72</v>
      </c>
      <c r="D47" s="842"/>
      <c r="E47" s="843"/>
      <c r="F47" s="277">
        <v>11</v>
      </c>
      <c r="G47" s="278" t="s">
        <v>64</v>
      </c>
      <c r="H47" s="279">
        <v>8</v>
      </c>
      <c r="I47" s="47">
        <v>44321</v>
      </c>
      <c r="J47" s="48">
        <f>F47*H47*I47</f>
        <v>3900248</v>
      </c>
      <c r="L47" s="32">
        <v>34000</v>
      </c>
      <c r="M47" s="432">
        <f>I47+L47</f>
        <v>78321</v>
      </c>
    </row>
    <row r="48" spans="1:13" ht="31.5" customHeight="1">
      <c r="A48" s="30"/>
      <c r="B48" s="46"/>
      <c r="C48" s="849" t="s">
        <v>197</v>
      </c>
      <c r="D48" s="842"/>
      <c r="E48" s="843"/>
      <c r="F48" s="277"/>
      <c r="G48" s="278"/>
      <c r="H48" s="279"/>
      <c r="I48" s="47"/>
      <c r="J48" s="45">
        <f>SUM(J49:J68)</f>
        <v>18994560</v>
      </c>
      <c r="L48" s="32"/>
    </row>
    <row r="49" spans="1:10" ht="14.25" customHeight="1">
      <c r="A49" s="30"/>
      <c r="B49" s="46"/>
      <c r="C49" s="847" t="s">
        <v>374</v>
      </c>
      <c r="D49" s="842"/>
      <c r="E49" s="843"/>
      <c r="F49" s="277">
        <v>1</v>
      </c>
      <c r="G49" s="278" t="s">
        <v>64</v>
      </c>
      <c r="H49" s="279">
        <v>12</v>
      </c>
      <c r="I49" s="47">
        <f>J17*4%/12</f>
        <v>104000</v>
      </c>
      <c r="J49" s="48">
        <f>SUM(F49*H49*I49)</f>
        <v>1248000</v>
      </c>
    </row>
    <row r="50" spans="1:10" ht="14.25" customHeight="1">
      <c r="A50" s="30"/>
      <c r="B50" s="46"/>
      <c r="C50" s="847" t="s">
        <v>375</v>
      </c>
      <c r="D50" s="842"/>
      <c r="E50" s="843"/>
      <c r="F50" s="277">
        <v>1</v>
      </c>
      <c r="G50" s="278" t="s">
        <v>64</v>
      </c>
      <c r="H50" s="279">
        <v>12</v>
      </c>
      <c r="I50" s="47">
        <f>J18*4%/12</f>
        <v>72800</v>
      </c>
      <c r="J50" s="48">
        <f t="shared" ref="J50:J56" si="1">SUM(F50*H50*I50)</f>
        <v>873600</v>
      </c>
    </row>
    <row r="51" spans="1:10" ht="14.25" customHeight="1">
      <c r="A51" s="30"/>
      <c r="B51" s="46"/>
      <c r="C51" s="847" t="s">
        <v>376</v>
      </c>
      <c r="D51" s="842"/>
      <c r="E51" s="843"/>
      <c r="F51" s="277">
        <v>1</v>
      </c>
      <c r="G51" s="278" t="s">
        <v>64</v>
      </c>
      <c r="H51" s="279">
        <v>12</v>
      </c>
      <c r="I51" s="47">
        <f>J19*4%/12</f>
        <v>58240.000000000007</v>
      </c>
      <c r="J51" s="48">
        <f t="shared" si="1"/>
        <v>698880.00000000012</v>
      </c>
    </row>
    <row r="52" spans="1:10" ht="14.25" customHeight="1">
      <c r="A52" s="30"/>
      <c r="B52" s="46"/>
      <c r="C52" s="847" t="s">
        <v>377</v>
      </c>
      <c r="D52" s="842"/>
      <c r="E52" s="843"/>
      <c r="F52" s="277">
        <v>1</v>
      </c>
      <c r="G52" s="278" t="s">
        <v>64</v>
      </c>
      <c r="H52" s="279">
        <v>12</v>
      </c>
      <c r="I52" s="47">
        <f>J20*4%/12</f>
        <v>56160</v>
      </c>
      <c r="J52" s="48">
        <f t="shared" si="1"/>
        <v>673920</v>
      </c>
    </row>
    <row r="53" spans="1:10" ht="14.25" customHeight="1">
      <c r="A53" s="30"/>
      <c r="B53" s="46"/>
      <c r="C53" s="847" t="s">
        <v>390</v>
      </c>
      <c r="D53" s="842"/>
      <c r="E53" s="843"/>
      <c r="F53" s="277">
        <v>1</v>
      </c>
      <c r="G53" s="278" t="s">
        <v>64</v>
      </c>
      <c r="H53" s="279">
        <v>12</v>
      </c>
      <c r="I53" s="47">
        <f>J22*4%/12/3</f>
        <v>58240.000000000007</v>
      </c>
      <c r="J53" s="48">
        <f t="shared" si="1"/>
        <v>698880.00000000012</v>
      </c>
    </row>
    <row r="54" spans="1:10" ht="14.25" customHeight="1">
      <c r="A54" s="30"/>
      <c r="B54" s="46"/>
      <c r="C54" s="847" t="s">
        <v>391</v>
      </c>
      <c r="D54" s="842"/>
      <c r="E54" s="843"/>
      <c r="F54" s="277">
        <v>1</v>
      </c>
      <c r="G54" s="278" t="s">
        <v>64</v>
      </c>
      <c r="H54" s="279">
        <v>12</v>
      </c>
      <c r="I54" s="47">
        <f>J22*4%/12/3</f>
        <v>58240.000000000007</v>
      </c>
      <c r="J54" s="48">
        <f t="shared" si="1"/>
        <v>698880.00000000012</v>
      </c>
    </row>
    <row r="55" spans="1:10" ht="14.25" customHeight="1">
      <c r="A55" s="30"/>
      <c r="B55" s="46"/>
      <c r="C55" s="847" t="s">
        <v>392</v>
      </c>
      <c r="D55" s="842"/>
      <c r="E55" s="843"/>
      <c r="F55" s="277">
        <v>1</v>
      </c>
      <c r="G55" s="278" t="s">
        <v>64</v>
      </c>
      <c r="H55" s="279">
        <v>12</v>
      </c>
      <c r="I55" s="47">
        <f>J22*4%/12/3</f>
        <v>58240.000000000007</v>
      </c>
      <c r="J55" s="48">
        <f t="shared" si="1"/>
        <v>698880.00000000012</v>
      </c>
    </row>
    <row r="56" spans="1:10" ht="14.25" customHeight="1">
      <c r="A56" s="30"/>
      <c r="B56" s="46"/>
      <c r="C56" s="847" t="s">
        <v>378</v>
      </c>
      <c r="D56" s="842"/>
      <c r="E56" s="843"/>
      <c r="F56" s="277">
        <v>5</v>
      </c>
      <c r="G56" s="278" t="s">
        <v>64</v>
      </c>
      <c r="H56" s="279">
        <v>12</v>
      </c>
      <c r="I56" s="47">
        <f>J23*4%/12/5</f>
        <v>54080</v>
      </c>
      <c r="J56" s="48">
        <f t="shared" si="1"/>
        <v>3244800</v>
      </c>
    </row>
    <row r="57" spans="1:10" ht="14.25" customHeight="1">
      <c r="A57" s="30"/>
      <c r="B57" s="46"/>
      <c r="C57" s="847" t="s">
        <v>379</v>
      </c>
      <c r="D57" s="842"/>
      <c r="E57" s="843"/>
      <c r="F57" s="277">
        <v>3</v>
      </c>
      <c r="G57" s="278" t="s">
        <v>64</v>
      </c>
      <c r="H57" s="279">
        <v>12</v>
      </c>
      <c r="I57" s="47">
        <f>J17*2%/12</f>
        <v>52000</v>
      </c>
      <c r="J57" s="48">
        <f t="shared" ref="J57:J62" si="2">F57*H57*I57</f>
        <v>1872000</v>
      </c>
    </row>
    <row r="58" spans="1:10" ht="14.25" customHeight="1">
      <c r="A58" s="30"/>
      <c r="B58" s="46"/>
      <c r="C58" s="869" t="s">
        <v>380</v>
      </c>
      <c r="D58" s="842"/>
      <c r="E58" s="843"/>
      <c r="F58" s="277">
        <v>2</v>
      </c>
      <c r="G58" s="278" t="s">
        <v>64</v>
      </c>
      <c r="H58" s="279">
        <v>12</v>
      </c>
      <c r="I58" s="47">
        <f>J18*2%/12</f>
        <v>36400</v>
      </c>
      <c r="J58" s="48">
        <f t="shared" si="2"/>
        <v>873600</v>
      </c>
    </row>
    <row r="59" spans="1:10" ht="14.25" customHeight="1">
      <c r="A59" s="30"/>
      <c r="B59" s="46"/>
      <c r="C59" s="850" t="s">
        <v>381</v>
      </c>
      <c r="D59" s="842"/>
      <c r="E59" s="843"/>
      <c r="F59" s="277">
        <v>2</v>
      </c>
      <c r="G59" s="278" t="s">
        <v>64</v>
      </c>
      <c r="H59" s="279">
        <v>12</v>
      </c>
      <c r="I59" s="47">
        <f>J19*2%/12</f>
        <v>29120.000000000004</v>
      </c>
      <c r="J59" s="48">
        <f t="shared" si="2"/>
        <v>698880.00000000012</v>
      </c>
    </row>
    <row r="60" spans="1:10" ht="14.25" customHeight="1">
      <c r="A60" s="30"/>
      <c r="B60" s="46"/>
      <c r="C60" s="850" t="s">
        <v>393</v>
      </c>
      <c r="D60" s="842"/>
      <c r="E60" s="843"/>
      <c r="F60" s="277">
        <v>2</v>
      </c>
      <c r="G60" s="278" t="s">
        <v>64</v>
      </c>
      <c r="H60" s="279">
        <v>12</v>
      </c>
      <c r="I60" s="47">
        <f>J20*2%/12</f>
        <v>28080</v>
      </c>
      <c r="J60" s="48">
        <f t="shared" si="2"/>
        <v>673920</v>
      </c>
    </row>
    <row r="61" spans="1:10">
      <c r="A61" s="30"/>
      <c r="B61" s="46"/>
      <c r="C61" s="850" t="s">
        <v>382</v>
      </c>
      <c r="D61" s="842"/>
      <c r="E61" s="843"/>
      <c r="F61" s="277">
        <v>3</v>
      </c>
      <c r="G61" s="278" t="s">
        <v>64</v>
      </c>
      <c r="H61" s="279">
        <v>12</v>
      </c>
      <c r="I61" s="47">
        <f>J22*2%/12/3</f>
        <v>29120.000000000004</v>
      </c>
      <c r="J61" s="48">
        <f t="shared" si="2"/>
        <v>1048320.0000000001</v>
      </c>
    </row>
    <row r="62" spans="1:10">
      <c r="A62" s="30"/>
      <c r="B62" s="46"/>
      <c r="C62" s="850" t="s">
        <v>383</v>
      </c>
      <c r="D62" s="842"/>
      <c r="E62" s="843"/>
      <c r="F62" s="277">
        <v>3</v>
      </c>
      <c r="G62" s="278" t="s">
        <v>64</v>
      </c>
      <c r="H62" s="279">
        <v>12</v>
      </c>
      <c r="I62" s="47">
        <f>J22*2%/12/3</f>
        <v>29120.000000000004</v>
      </c>
      <c r="J62" s="48">
        <f t="shared" si="2"/>
        <v>1048320.0000000001</v>
      </c>
    </row>
    <row r="63" spans="1:10" ht="14.25" customHeight="1">
      <c r="A63" s="30"/>
      <c r="B63" s="46"/>
      <c r="C63" s="850" t="s">
        <v>384</v>
      </c>
      <c r="D63" s="842"/>
      <c r="E63" s="843"/>
      <c r="F63" s="277">
        <v>2</v>
      </c>
      <c r="G63" s="278" t="s">
        <v>64</v>
      </c>
      <c r="H63" s="279">
        <v>12</v>
      </c>
      <c r="I63" s="47">
        <f>J22*2%/12/3</f>
        <v>29120.000000000004</v>
      </c>
      <c r="J63" s="48">
        <f>SUM(F63*H63*I63)</f>
        <v>698880.00000000012</v>
      </c>
    </row>
    <row r="64" spans="1:10" ht="14.25" customHeight="1">
      <c r="A64" s="30"/>
      <c r="B64" s="46"/>
      <c r="C64" s="850" t="s">
        <v>385</v>
      </c>
      <c r="D64" s="842"/>
      <c r="E64" s="843"/>
      <c r="F64" s="277">
        <v>2</v>
      </c>
      <c r="G64" s="278" t="s">
        <v>64</v>
      </c>
      <c r="H64" s="279">
        <v>12</v>
      </c>
      <c r="I64" s="47">
        <f>J23*2%/12/5</f>
        <v>27040</v>
      </c>
      <c r="J64" s="48">
        <f>SUM(F64*H64*I64)</f>
        <v>648960</v>
      </c>
    </row>
    <row r="65" spans="1:12" ht="14.25" customHeight="1">
      <c r="A65" s="30"/>
      <c r="B65" s="46"/>
      <c r="C65" s="850" t="s">
        <v>386</v>
      </c>
      <c r="D65" s="842"/>
      <c r="E65" s="843"/>
      <c r="F65" s="277">
        <v>2</v>
      </c>
      <c r="G65" s="278" t="s">
        <v>64</v>
      </c>
      <c r="H65" s="279">
        <v>12</v>
      </c>
      <c r="I65" s="47">
        <f>J23*2%/12/5</f>
        <v>27040</v>
      </c>
      <c r="J65" s="48">
        <f>SUM(F65*H65*I65)</f>
        <v>648960</v>
      </c>
    </row>
    <row r="66" spans="1:12" ht="14.25" customHeight="1">
      <c r="A66" s="30"/>
      <c r="B66" s="46"/>
      <c r="C66" s="850" t="s">
        <v>387</v>
      </c>
      <c r="D66" s="842"/>
      <c r="E66" s="843"/>
      <c r="F66" s="277">
        <v>3</v>
      </c>
      <c r="G66" s="278" t="s">
        <v>64</v>
      </c>
      <c r="H66" s="279">
        <v>12</v>
      </c>
      <c r="I66" s="47">
        <f>J23*2%/12/5</f>
        <v>27040</v>
      </c>
      <c r="J66" s="48">
        <f>SUM(F66*H66*I66)</f>
        <v>973440</v>
      </c>
    </row>
    <row r="67" spans="1:12" ht="14.25" customHeight="1">
      <c r="A67" s="30"/>
      <c r="B67" s="46"/>
      <c r="C67" s="850" t="s">
        <v>388</v>
      </c>
      <c r="D67" s="842"/>
      <c r="E67" s="843"/>
      <c r="F67" s="277">
        <v>2</v>
      </c>
      <c r="G67" s="278" t="s">
        <v>64</v>
      </c>
      <c r="H67" s="279">
        <v>12</v>
      </c>
      <c r="I67" s="47">
        <f>J23*2%/12/5</f>
        <v>27040</v>
      </c>
      <c r="J67" s="48">
        <f>SUM(F67*H67*I67)</f>
        <v>648960</v>
      </c>
    </row>
    <row r="68" spans="1:12" ht="14.25" customHeight="1">
      <c r="A68" s="30"/>
      <c r="B68" s="46"/>
      <c r="C68" s="869" t="s">
        <v>389</v>
      </c>
      <c r="D68" s="842"/>
      <c r="E68" s="843"/>
      <c r="F68" s="277">
        <v>1</v>
      </c>
      <c r="G68" s="278" t="s">
        <v>64</v>
      </c>
      <c r="H68" s="279">
        <v>12</v>
      </c>
      <c r="I68" s="47">
        <f>J23*2%/12/5</f>
        <v>27040</v>
      </c>
      <c r="J68" s="48">
        <f>F68*H68*I68</f>
        <v>324480</v>
      </c>
    </row>
    <row r="69" spans="1:12" ht="31.5" customHeight="1">
      <c r="A69" s="30"/>
      <c r="B69" s="46"/>
      <c r="C69" s="849" t="s">
        <v>73</v>
      </c>
      <c r="D69" s="842"/>
      <c r="E69" s="843"/>
      <c r="F69" s="288"/>
      <c r="G69" s="186"/>
      <c r="H69" s="187"/>
      <c r="I69" s="49"/>
      <c r="J69" s="45">
        <v>0</v>
      </c>
    </row>
    <row r="70" spans="1:12" ht="15">
      <c r="A70" s="30"/>
      <c r="B70" s="46"/>
      <c r="C70" s="846" t="s">
        <v>163</v>
      </c>
      <c r="D70" s="842"/>
      <c r="E70" s="843"/>
      <c r="F70" s="288"/>
      <c r="G70" s="186"/>
      <c r="H70" s="186"/>
      <c r="I70" s="49">
        <f>1507955700*1%</f>
        <v>15079557</v>
      </c>
      <c r="J70" s="54">
        <f>SUM(J71:J76)</f>
        <v>15000000</v>
      </c>
    </row>
    <row r="71" spans="1:12">
      <c r="A71" s="30"/>
      <c r="B71" s="46"/>
      <c r="C71" s="851" t="s">
        <v>71</v>
      </c>
      <c r="D71" s="842"/>
      <c r="E71" s="843"/>
      <c r="F71" s="258">
        <v>1</v>
      </c>
      <c r="G71" s="259" t="s">
        <v>64</v>
      </c>
      <c r="H71" s="256">
        <v>12</v>
      </c>
      <c r="I71" s="257">
        <v>0</v>
      </c>
      <c r="J71" s="48">
        <f t="shared" ref="J71:J76" si="3">SUM(H71*I71)</f>
        <v>0</v>
      </c>
    </row>
    <row r="72" spans="1:12">
      <c r="A72" s="30"/>
      <c r="B72" s="46"/>
      <c r="C72" s="851" t="s">
        <v>181</v>
      </c>
      <c r="D72" s="842"/>
      <c r="E72" s="843"/>
      <c r="F72" s="277">
        <v>1</v>
      </c>
      <c r="G72" s="278" t="s">
        <v>64</v>
      </c>
      <c r="H72" s="279">
        <v>12</v>
      </c>
      <c r="I72" s="47">
        <v>750000</v>
      </c>
      <c r="J72" s="48">
        <f t="shared" si="3"/>
        <v>9000000</v>
      </c>
    </row>
    <row r="73" spans="1:12">
      <c r="A73" s="30"/>
      <c r="B73" s="46"/>
      <c r="C73" s="851" t="s">
        <v>182</v>
      </c>
      <c r="D73" s="842"/>
      <c r="E73" s="843"/>
      <c r="F73" s="277">
        <v>1</v>
      </c>
      <c r="G73" s="278" t="s">
        <v>64</v>
      </c>
      <c r="H73" s="279">
        <v>12</v>
      </c>
      <c r="I73" s="47">
        <v>500000</v>
      </c>
      <c r="J73" s="48">
        <f t="shared" si="3"/>
        <v>6000000</v>
      </c>
      <c r="L73" s="29">
        <f>15000000*40%</f>
        <v>6000000</v>
      </c>
    </row>
    <row r="74" spans="1:12">
      <c r="A74" s="30"/>
      <c r="B74" s="46"/>
      <c r="C74" s="851" t="s">
        <v>199</v>
      </c>
      <c r="D74" s="842"/>
      <c r="E74" s="843"/>
      <c r="F74" s="277">
        <v>1</v>
      </c>
      <c r="G74" s="278" t="s">
        <v>64</v>
      </c>
      <c r="H74" s="279">
        <v>12</v>
      </c>
      <c r="I74" s="47">
        <v>0</v>
      </c>
      <c r="J74" s="48">
        <f t="shared" si="3"/>
        <v>0</v>
      </c>
      <c r="L74" s="29">
        <v>12</v>
      </c>
    </row>
    <row r="75" spans="1:12">
      <c r="A75" s="30"/>
      <c r="B75" s="46"/>
      <c r="C75" s="851" t="s">
        <v>200</v>
      </c>
      <c r="D75" s="842"/>
      <c r="E75" s="843"/>
      <c r="F75" s="277">
        <v>1</v>
      </c>
      <c r="G75" s="278" t="s">
        <v>64</v>
      </c>
      <c r="H75" s="279">
        <v>12</v>
      </c>
      <c r="I75" s="47">
        <v>0</v>
      </c>
      <c r="J75" s="48">
        <f t="shared" si="3"/>
        <v>0</v>
      </c>
      <c r="L75" s="29">
        <f>SUM(L73/L74)</f>
        <v>500000</v>
      </c>
    </row>
    <row r="76" spans="1:12">
      <c r="A76" s="30"/>
      <c r="B76" s="46"/>
      <c r="C76" s="851" t="s">
        <v>201</v>
      </c>
      <c r="D76" s="842"/>
      <c r="E76" s="843"/>
      <c r="F76" s="284">
        <v>1</v>
      </c>
      <c r="G76" s="278" t="s">
        <v>64</v>
      </c>
      <c r="H76" s="279">
        <v>12</v>
      </c>
      <c r="I76" s="47">
        <v>0</v>
      </c>
      <c r="J76" s="48">
        <f t="shared" si="3"/>
        <v>0</v>
      </c>
    </row>
    <row r="77" spans="1:12">
      <c r="A77" s="30"/>
      <c r="B77" s="46"/>
      <c r="C77" s="889"/>
      <c r="D77" s="842"/>
      <c r="E77" s="843"/>
      <c r="F77" s="51"/>
      <c r="G77" s="52"/>
      <c r="H77" s="53"/>
      <c r="I77" s="47"/>
      <c r="J77" s="48"/>
    </row>
    <row r="78" spans="1:12" ht="15">
      <c r="A78" s="30"/>
      <c r="B78" s="27"/>
      <c r="C78" s="848" t="s">
        <v>75</v>
      </c>
      <c r="D78" s="842"/>
      <c r="E78" s="843"/>
      <c r="F78" s="286"/>
      <c r="G78" s="186"/>
      <c r="H78" s="54"/>
      <c r="I78" s="289"/>
      <c r="J78" s="55">
        <f>J15</f>
        <v>323671608</v>
      </c>
    </row>
    <row r="79" spans="1:12">
      <c r="A79" s="30"/>
      <c r="B79" s="281"/>
      <c r="C79" s="281"/>
      <c r="D79" s="30"/>
      <c r="E79" s="30"/>
      <c r="F79" s="31"/>
      <c r="G79" s="840" t="s">
        <v>982</v>
      </c>
      <c r="H79" s="840"/>
      <c r="I79" s="840"/>
      <c r="J79" s="840"/>
    </row>
    <row r="80" spans="1:12">
      <c r="A80" s="30"/>
      <c r="B80" s="30"/>
      <c r="C80" s="30"/>
      <c r="D80" s="287" t="s">
        <v>76</v>
      </c>
      <c r="E80" s="287"/>
      <c r="F80" s="31"/>
      <c r="G80" s="840" t="s">
        <v>77</v>
      </c>
      <c r="H80" s="840"/>
      <c r="I80" s="840"/>
      <c r="J80" s="840"/>
    </row>
    <row r="81" spans="1:10" ht="14.25" customHeight="1">
      <c r="A81" s="30"/>
      <c r="B81" s="30"/>
      <c r="C81" s="840" t="s">
        <v>78</v>
      </c>
      <c r="D81" s="840"/>
      <c r="E81" s="840"/>
      <c r="F81" s="31"/>
      <c r="G81" s="31"/>
      <c r="H81" s="31"/>
      <c r="I81" s="56"/>
      <c r="J81" s="30"/>
    </row>
    <row r="82" spans="1:10">
      <c r="A82" s="30"/>
      <c r="B82" s="281"/>
      <c r="C82" s="281"/>
      <c r="D82" s="281"/>
      <c r="E82" s="281"/>
      <c r="F82" s="31"/>
      <c r="G82" s="31"/>
      <c r="H82" s="31"/>
      <c r="I82" s="30"/>
      <c r="J82" s="30"/>
    </row>
    <row r="83" spans="1:10">
      <c r="A83" s="30"/>
      <c r="B83" s="281"/>
      <c r="C83" s="281"/>
      <c r="D83" s="281"/>
      <c r="E83" s="281"/>
      <c r="F83" s="31"/>
      <c r="G83" s="31"/>
      <c r="H83" s="31"/>
      <c r="I83" s="30"/>
      <c r="J83" s="30"/>
    </row>
    <row r="84" spans="1:10">
      <c r="A84" s="30"/>
      <c r="B84" s="281"/>
      <c r="C84" s="281"/>
      <c r="D84" s="281"/>
      <c r="E84" s="281"/>
      <c r="F84" s="31"/>
      <c r="G84" s="31"/>
      <c r="H84" s="31"/>
      <c r="I84" s="30"/>
      <c r="J84" s="30"/>
    </row>
    <row r="85" spans="1:10">
      <c r="A85" s="30"/>
      <c r="B85" s="281"/>
      <c r="C85" s="281"/>
      <c r="D85" s="287" t="s">
        <v>51</v>
      </c>
      <c r="E85" s="287"/>
      <c r="F85" s="31"/>
      <c r="G85" s="840" t="s">
        <v>188</v>
      </c>
      <c r="H85" s="840"/>
      <c r="I85" s="840"/>
      <c r="J85" s="840"/>
    </row>
    <row r="86" spans="1:10">
      <c r="A86" s="30"/>
      <c r="B86" s="281"/>
      <c r="C86" s="281"/>
      <c r="D86" s="287"/>
      <c r="E86" s="287"/>
      <c r="F86" s="31"/>
      <c r="G86" s="281"/>
      <c r="H86" s="281"/>
      <c r="I86" s="281"/>
      <c r="J86" s="281"/>
    </row>
    <row r="87" spans="1:10">
      <c r="A87" s="30"/>
      <c r="B87" s="281"/>
      <c r="C87" s="281"/>
      <c r="D87" s="287"/>
      <c r="E87" s="287"/>
      <c r="F87" s="31"/>
      <c r="G87" s="281"/>
      <c r="H87" s="281"/>
      <c r="I87" s="281"/>
      <c r="J87" s="281"/>
    </row>
    <row r="88" spans="1:10">
      <c r="A88" s="30"/>
      <c r="B88" s="281"/>
      <c r="C88" s="281"/>
      <c r="D88" s="287"/>
      <c r="E88" s="287"/>
      <c r="F88" s="31"/>
      <c r="G88" s="281"/>
      <c r="H88" s="281"/>
      <c r="I88" s="281"/>
      <c r="J88" s="281"/>
    </row>
    <row r="89" spans="1:10">
      <c r="A89" s="30"/>
      <c r="B89" s="281"/>
      <c r="C89" s="281"/>
      <c r="D89" s="287"/>
      <c r="E89" s="287"/>
      <c r="F89" s="31"/>
      <c r="G89" s="281"/>
      <c r="H89" s="281"/>
      <c r="I89" s="281"/>
      <c r="J89" s="281"/>
    </row>
    <row r="90" spans="1:10">
      <c r="A90" s="30"/>
      <c r="B90" s="281"/>
      <c r="C90" s="281"/>
      <c r="D90" s="287"/>
      <c r="E90" s="287"/>
      <c r="F90" s="31"/>
      <c r="G90" s="281"/>
      <c r="H90" s="281"/>
      <c r="I90" s="281"/>
      <c r="J90" s="281"/>
    </row>
    <row r="91" spans="1:10" ht="15">
      <c r="A91" s="862" t="s">
        <v>54</v>
      </c>
      <c r="B91" s="862"/>
      <c r="C91" s="862"/>
      <c r="D91" s="862"/>
      <c r="E91" s="862"/>
      <c r="F91" s="862"/>
      <c r="G91" s="862"/>
      <c r="H91" s="862"/>
      <c r="I91" s="862"/>
      <c r="J91" s="862"/>
    </row>
    <row r="92" spans="1:10" ht="15">
      <c r="A92" s="862" t="s">
        <v>79</v>
      </c>
      <c r="B92" s="862"/>
      <c r="C92" s="862"/>
      <c r="D92" s="862"/>
      <c r="E92" s="862"/>
      <c r="F92" s="862"/>
      <c r="G92" s="862"/>
      <c r="H92" s="862"/>
      <c r="I92" s="862"/>
      <c r="J92" s="862"/>
    </row>
    <row r="93" spans="1:10" ht="15">
      <c r="A93" s="862" t="s">
        <v>914</v>
      </c>
      <c r="B93" s="862"/>
      <c r="C93" s="862"/>
      <c r="D93" s="862"/>
      <c r="E93" s="862"/>
      <c r="F93" s="862"/>
      <c r="G93" s="862"/>
      <c r="H93" s="862"/>
      <c r="I93" s="862"/>
      <c r="J93" s="862"/>
    </row>
    <row r="94" spans="1:10" ht="9" customHeight="1">
      <c r="A94" s="30"/>
      <c r="B94" s="287"/>
      <c r="C94" s="287"/>
      <c r="D94" s="287"/>
      <c r="E94" s="287"/>
      <c r="F94" s="294"/>
      <c r="G94" s="294"/>
      <c r="H94" s="294"/>
      <c r="I94" s="287"/>
      <c r="J94" s="287"/>
    </row>
    <row r="95" spans="1:10">
      <c r="A95" s="287">
        <v>1</v>
      </c>
      <c r="B95" s="30" t="s">
        <v>172</v>
      </c>
      <c r="C95" s="30"/>
      <c r="D95" s="30" t="s">
        <v>235</v>
      </c>
      <c r="E95" s="30"/>
      <c r="F95" s="31"/>
      <c r="G95" s="31"/>
      <c r="H95" s="31"/>
      <c r="I95" s="30"/>
      <c r="J95" s="287"/>
    </row>
    <row r="96" spans="1:10">
      <c r="A96" s="287">
        <v>2</v>
      </c>
      <c r="B96" s="30" t="s">
        <v>173</v>
      </c>
      <c r="C96" s="30"/>
      <c r="D96" s="621" t="s">
        <v>968</v>
      </c>
      <c r="E96" s="30"/>
      <c r="F96" s="31"/>
      <c r="G96" s="31"/>
      <c r="H96" s="31"/>
      <c r="I96" s="30"/>
      <c r="J96" s="30"/>
    </row>
    <row r="97" spans="1:13">
      <c r="A97" s="287">
        <v>3</v>
      </c>
      <c r="B97" s="30" t="s">
        <v>174</v>
      </c>
      <c r="C97" s="30"/>
      <c r="D97" s="535" t="s">
        <v>923</v>
      </c>
      <c r="E97" s="30"/>
      <c r="F97" s="31"/>
      <c r="G97" s="31"/>
      <c r="H97" s="31"/>
      <c r="I97" s="30"/>
      <c r="J97" s="30"/>
    </row>
    <row r="98" spans="1:13">
      <c r="A98" s="287">
        <v>4</v>
      </c>
      <c r="B98" s="30" t="s">
        <v>183</v>
      </c>
      <c r="C98" s="30"/>
      <c r="D98" s="30" t="s">
        <v>187</v>
      </c>
      <c r="E98" s="35"/>
      <c r="F98" s="31"/>
      <c r="G98" s="31"/>
      <c r="H98" s="31"/>
      <c r="I98" s="30"/>
      <c r="J98" s="30"/>
    </row>
    <row r="99" spans="1:13">
      <c r="A99" s="287">
        <v>5</v>
      </c>
      <c r="B99" s="30" t="s">
        <v>184</v>
      </c>
      <c r="C99" s="30"/>
      <c r="D99" s="30" t="s">
        <v>236</v>
      </c>
      <c r="E99" s="431">
        <f>APBDes2017!H57</f>
        <v>60300000</v>
      </c>
      <c r="F99" s="34"/>
      <c r="G99" s="31"/>
      <c r="H99" s="31"/>
      <c r="I99" s="30"/>
      <c r="J99" s="30"/>
    </row>
    <row r="100" spans="1:13">
      <c r="A100" s="287">
        <v>6</v>
      </c>
      <c r="B100" s="30" t="s">
        <v>234</v>
      </c>
      <c r="C100" s="30"/>
      <c r="D100" s="30" t="s">
        <v>236</v>
      </c>
      <c r="E100" s="431">
        <f>J105</f>
        <v>60300000</v>
      </c>
      <c r="F100" s="31"/>
      <c r="G100" s="31"/>
      <c r="H100" s="31"/>
      <c r="I100" s="30"/>
      <c r="J100" s="30"/>
    </row>
    <row r="101" spans="1:13">
      <c r="A101" s="287"/>
      <c r="B101" s="30" t="s">
        <v>194</v>
      </c>
      <c r="C101" s="30"/>
      <c r="D101" s="30"/>
      <c r="E101" s="30"/>
      <c r="F101" s="31"/>
      <c r="G101" s="31"/>
      <c r="H101" s="31"/>
      <c r="I101" s="30"/>
      <c r="J101" s="30"/>
    </row>
    <row r="102" spans="1:13" ht="28.5">
      <c r="A102" s="30"/>
      <c r="B102" s="866" t="s">
        <v>56</v>
      </c>
      <c r="C102" s="852" t="s">
        <v>0</v>
      </c>
      <c r="D102" s="853"/>
      <c r="E102" s="854"/>
      <c r="F102" s="852" t="s">
        <v>57</v>
      </c>
      <c r="G102" s="853"/>
      <c r="H102" s="854"/>
      <c r="I102" s="193" t="s">
        <v>58</v>
      </c>
      <c r="J102" s="193" t="s">
        <v>59</v>
      </c>
    </row>
    <row r="103" spans="1:13">
      <c r="A103" s="30"/>
      <c r="B103" s="867"/>
      <c r="C103" s="855"/>
      <c r="D103" s="856"/>
      <c r="E103" s="857"/>
      <c r="F103" s="875"/>
      <c r="G103" s="856"/>
      <c r="H103" s="857"/>
      <c r="I103" s="37" t="s">
        <v>52</v>
      </c>
      <c r="J103" s="37" t="s">
        <v>52</v>
      </c>
    </row>
    <row r="104" spans="1:13">
      <c r="A104" s="30"/>
      <c r="B104" s="188">
        <v>1</v>
      </c>
      <c r="C104" s="844">
        <v>2</v>
      </c>
      <c r="D104" s="842"/>
      <c r="E104" s="843"/>
      <c r="F104" s="844">
        <v>3</v>
      </c>
      <c r="G104" s="859"/>
      <c r="H104" s="860"/>
      <c r="I104" s="37">
        <v>4</v>
      </c>
      <c r="J104" s="37">
        <v>5</v>
      </c>
    </row>
    <row r="105" spans="1:13" ht="20.25" customHeight="1">
      <c r="A105" s="30"/>
      <c r="B105" s="57" t="s">
        <v>80</v>
      </c>
      <c r="C105" s="845" t="s">
        <v>967</v>
      </c>
      <c r="D105" s="842"/>
      <c r="E105" s="843"/>
      <c r="F105" s="58"/>
      <c r="G105" s="59"/>
      <c r="H105" s="60"/>
      <c r="I105" s="61"/>
      <c r="J105" s="62">
        <f>J106+J149</f>
        <v>60300000</v>
      </c>
    </row>
    <row r="106" spans="1:13" ht="18" customHeight="1">
      <c r="A106" s="30"/>
      <c r="B106" s="633">
        <v>2</v>
      </c>
      <c r="C106" s="841" t="s">
        <v>34</v>
      </c>
      <c r="D106" s="842"/>
      <c r="E106" s="843"/>
      <c r="F106" s="498" t="s">
        <v>630</v>
      </c>
      <c r="G106" s="499" t="s">
        <v>631</v>
      </c>
      <c r="H106" s="500" t="s">
        <v>632</v>
      </c>
      <c r="I106" s="190"/>
      <c r="J106" s="42">
        <f>(J107+J115+J118+J121+J131+J132+J138+J140+J141+J145+J147+J149)</f>
        <v>47631000</v>
      </c>
    </row>
    <row r="107" spans="1:13" ht="18" customHeight="1">
      <c r="A107" s="30"/>
      <c r="B107" s="43"/>
      <c r="C107" s="849" t="s">
        <v>27</v>
      </c>
      <c r="D107" s="842"/>
      <c r="E107" s="843"/>
      <c r="F107" s="291"/>
      <c r="G107" s="64"/>
      <c r="H107" s="192"/>
      <c r="I107" s="65"/>
      <c r="J107" s="45">
        <f>SUM(J108:J114)</f>
        <v>3354000</v>
      </c>
    </row>
    <row r="108" spans="1:13" ht="18" customHeight="1">
      <c r="A108" s="30"/>
      <c r="B108" s="46"/>
      <c r="C108" s="847" t="s">
        <v>82</v>
      </c>
      <c r="D108" s="842"/>
      <c r="E108" s="843"/>
      <c r="F108" s="277">
        <v>2</v>
      </c>
      <c r="G108" s="278" t="s">
        <v>83</v>
      </c>
      <c r="H108" s="279">
        <v>12</v>
      </c>
      <c r="I108" s="47">
        <v>50000</v>
      </c>
      <c r="J108" s="48">
        <f t="shared" ref="J108:J114" si="4">SUM(F108*H108*I108)</f>
        <v>1200000</v>
      </c>
      <c r="M108" s="29">
        <f>36/12</f>
        <v>3</v>
      </c>
    </row>
    <row r="109" spans="1:13" ht="18" customHeight="1">
      <c r="A109" s="30"/>
      <c r="B109" s="46"/>
      <c r="C109" s="847" t="s">
        <v>84</v>
      </c>
      <c r="D109" s="842"/>
      <c r="E109" s="843"/>
      <c r="F109" s="277">
        <v>12</v>
      </c>
      <c r="G109" s="278" t="s">
        <v>85</v>
      </c>
      <c r="H109" s="279">
        <v>1</v>
      </c>
      <c r="I109" s="47">
        <v>12000</v>
      </c>
      <c r="J109" s="48">
        <f t="shared" si="4"/>
        <v>144000</v>
      </c>
    </row>
    <row r="110" spans="1:13" ht="18" customHeight="1">
      <c r="A110" s="30"/>
      <c r="B110" s="46"/>
      <c r="C110" s="869" t="s">
        <v>86</v>
      </c>
      <c r="D110" s="842"/>
      <c r="E110" s="843"/>
      <c r="F110" s="277">
        <v>12</v>
      </c>
      <c r="G110" s="278" t="s">
        <v>102</v>
      </c>
      <c r="H110" s="279">
        <v>1</v>
      </c>
      <c r="I110" s="47">
        <v>12000</v>
      </c>
      <c r="J110" s="48">
        <f t="shared" si="4"/>
        <v>144000</v>
      </c>
    </row>
    <row r="111" spans="1:13" ht="18" customHeight="1">
      <c r="A111" s="30"/>
      <c r="B111" s="46"/>
      <c r="C111" s="869" t="s">
        <v>87</v>
      </c>
      <c r="D111" s="842"/>
      <c r="E111" s="843"/>
      <c r="F111" s="277">
        <v>12</v>
      </c>
      <c r="G111" s="278" t="s">
        <v>102</v>
      </c>
      <c r="H111" s="279">
        <v>1</v>
      </c>
      <c r="I111" s="47">
        <v>6000</v>
      </c>
      <c r="J111" s="48">
        <f t="shared" si="4"/>
        <v>72000</v>
      </c>
    </row>
    <row r="112" spans="1:13" ht="18" customHeight="1">
      <c r="A112" s="30"/>
      <c r="B112" s="46"/>
      <c r="C112" s="869" t="s">
        <v>88</v>
      </c>
      <c r="D112" s="842"/>
      <c r="E112" s="843"/>
      <c r="F112" s="284">
        <v>1</v>
      </c>
      <c r="G112" s="184" t="s">
        <v>89</v>
      </c>
      <c r="H112" s="185">
        <v>12</v>
      </c>
      <c r="I112" s="47">
        <v>37000</v>
      </c>
      <c r="J112" s="48">
        <f t="shared" si="4"/>
        <v>444000</v>
      </c>
    </row>
    <row r="113" spans="1:13" ht="31.5" customHeight="1">
      <c r="A113" s="440"/>
      <c r="B113" s="46"/>
      <c r="C113" s="876" t="s">
        <v>640</v>
      </c>
      <c r="D113" s="877"/>
      <c r="E113" s="878"/>
      <c r="F113" s="439">
        <v>10</v>
      </c>
      <c r="G113" s="184" t="s">
        <v>102</v>
      </c>
      <c r="H113" s="185">
        <v>1</v>
      </c>
      <c r="I113" s="47">
        <v>100000</v>
      </c>
      <c r="J113" s="48">
        <f t="shared" si="4"/>
        <v>1000000</v>
      </c>
      <c r="M113" s="29">
        <f>5*35000</f>
        <v>175000</v>
      </c>
    </row>
    <row r="114" spans="1:13" ht="18" customHeight="1">
      <c r="A114" s="621"/>
      <c r="B114" s="46"/>
      <c r="C114" s="876" t="s">
        <v>959</v>
      </c>
      <c r="D114" s="877"/>
      <c r="E114" s="878"/>
      <c r="F114" s="616">
        <v>2</v>
      </c>
      <c r="G114" s="184" t="s">
        <v>102</v>
      </c>
      <c r="H114" s="185">
        <v>1</v>
      </c>
      <c r="I114" s="47">
        <v>175000</v>
      </c>
      <c r="J114" s="48">
        <f t="shared" si="4"/>
        <v>350000</v>
      </c>
    </row>
    <row r="115" spans="1:13" ht="18" customHeight="1">
      <c r="A115" s="30"/>
      <c r="B115" s="46"/>
      <c r="C115" s="858" t="s">
        <v>90</v>
      </c>
      <c r="D115" s="842"/>
      <c r="E115" s="843"/>
      <c r="F115" s="285"/>
      <c r="G115" s="292"/>
      <c r="H115" s="293"/>
      <c r="I115" s="47"/>
      <c r="J115" s="45">
        <f>SUM(J116:J117)</f>
        <v>1500000</v>
      </c>
    </row>
    <row r="116" spans="1:13" ht="18" customHeight="1">
      <c r="A116" s="30"/>
      <c r="B116" s="46"/>
      <c r="C116" s="847" t="s">
        <v>91</v>
      </c>
      <c r="D116" s="842"/>
      <c r="E116" s="843"/>
      <c r="F116" s="277">
        <v>200</v>
      </c>
      <c r="G116" s="278" t="s">
        <v>102</v>
      </c>
      <c r="H116" s="279">
        <v>1</v>
      </c>
      <c r="I116" s="47">
        <v>6000</v>
      </c>
      <c r="J116" s="48">
        <f>F116*I116</f>
        <v>1200000</v>
      </c>
    </row>
    <row r="117" spans="1:13" ht="18" customHeight="1">
      <c r="A117" s="30"/>
      <c r="B117" s="46"/>
      <c r="C117" s="869" t="s">
        <v>92</v>
      </c>
      <c r="D117" s="842"/>
      <c r="E117" s="843"/>
      <c r="F117" s="277">
        <v>100</v>
      </c>
      <c r="G117" s="278" t="s">
        <v>102</v>
      </c>
      <c r="H117" s="279">
        <v>1</v>
      </c>
      <c r="I117" s="47">
        <v>3000</v>
      </c>
      <c r="J117" s="48">
        <f>F117*I117</f>
        <v>300000</v>
      </c>
    </row>
    <row r="118" spans="1:13" ht="18" customHeight="1">
      <c r="A118" s="30"/>
      <c r="B118" s="46"/>
      <c r="C118" s="849" t="s">
        <v>28</v>
      </c>
      <c r="D118" s="842"/>
      <c r="E118" s="843"/>
      <c r="F118" s="283"/>
      <c r="G118" s="292"/>
      <c r="H118" s="289"/>
      <c r="I118" s="49"/>
      <c r="J118" s="45">
        <f>SUM(J119:J120)</f>
        <v>4728000</v>
      </c>
    </row>
    <row r="119" spans="1:13" ht="18" customHeight="1">
      <c r="A119" s="30"/>
      <c r="B119" s="46"/>
      <c r="C119" s="847" t="s">
        <v>617</v>
      </c>
      <c r="D119" s="842"/>
      <c r="E119" s="843"/>
      <c r="F119" s="277">
        <v>13</v>
      </c>
      <c r="G119" s="278" t="s">
        <v>93</v>
      </c>
      <c r="H119" s="279">
        <v>1</v>
      </c>
      <c r="I119" s="47">
        <v>356000</v>
      </c>
      <c r="J119" s="48">
        <f>SUM(F119*H119*I119)</f>
        <v>4628000</v>
      </c>
    </row>
    <row r="120" spans="1:13" ht="18" customHeight="1">
      <c r="A120" s="30"/>
      <c r="B120" s="46"/>
      <c r="C120" s="869" t="s">
        <v>94</v>
      </c>
      <c r="D120" s="842"/>
      <c r="E120" s="843"/>
      <c r="F120" s="277">
        <v>1</v>
      </c>
      <c r="G120" s="66" t="s">
        <v>93</v>
      </c>
      <c r="H120" s="279">
        <v>1</v>
      </c>
      <c r="I120" s="47">
        <v>100000</v>
      </c>
      <c r="J120" s="48">
        <f>SUM(F120*I120)</f>
        <v>100000</v>
      </c>
    </row>
    <row r="121" spans="1:13" ht="18" customHeight="1">
      <c r="A121" s="30"/>
      <c r="B121" s="46"/>
      <c r="C121" s="849" t="s">
        <v>29</v>
      </c>
      <c r="D121" s="842"/>
      <c r="E121" s="843"/>
      <c r="F121" s="277"/>
      <c r="G121" s="278"/>
      <c r="H121" s="279"/>
      <c r="I121" s="49"/>
      <c r="J121" s="45">
        <f>SUM(J122+J125+J128)</f>
        <v>4170000</v>
      </c>
    </row>
    <row r="122" spans="1:13" ht="18" customHeight="1">
      <c r="A122" s="30"/>
      <c r="B122" s="46"/>
      <c r="C122" s="847" t="s">
        <v>95</v>
      </c>
      <c r="D122" s="842"/>
      <c r="E122" s="843"/>
      <c r="F122" s="67"/>
      <c r="G122" s="68"/>
      <c r="H122" s="69"/>
      <c r="I122" s="47"/>
      <c r="J122" s="45">
        <f>J123+J124</f>
        <v>2460000</v>
      </c>
    </row>
    <row r="123" spans="1:13" ht="18" customHeight="1">
      <c r="A123" s="30"/>
      <c r="B123" s="46"/>
      <c r="C123" s="847" t="s">
        <v>71</v>
      </c>
      <c r="D123" s="842"/>
      <c r="E123" s="843"/>
      <c r="F123" s="277">
        <v>1</v>
      </c>
      <c r="G123" s="297" t="s">
        <v>399</v>
      </c>
      <c r="H123" s="279">
        <v>12</v>
      </c>
      <c r="I123" s="47">
        <v>25000</v>
      </c>
      <c r="J123" s="48">
        <f>F123*H123*I123</f>
        <v>300000</v>
      </c>
    </row>
    <row r="124" spans="1:13" ht="18" customHeight="1">
      <c r="A124" s="30"/>
      <c r="B124" s="46"/>
      <c r="C124" s="847" t="s">
        <v>96</v>
      </c>
      <c r="D124" s="842"/>
      <c r="E124" s="843"/>
      <c r="F124" s="70">
        <v>12</v>
      </c>
      <c r="G124" s="297" t="s">
        <v>399</v>
      </c>
      <c r="H124" s="279">
        <v>12</v>
      </c>
      <c r="I124" s="47">
        <v>15000</v>
      </c>
      <c r="J124" s="48">
        <f>F124*H124*I124</f>
        <v>2160000</v>
      </c>
    </row>
    <row r="125" spans="1:13" ht="18" customHeight="1">
      <c r="A125" s="30"/>
      <c r="B125" s="46"/>
      <c r="C125" s="847" t="s">
        <v>97</v>
      </c>
      <c r="D125" s="842"/>
      <c r="E125" s="843"/>
      <c r="F125" s="277"/>
      <c r="G125" s="278"/>
      <c r="H125" s="279"/>
      <c r="I125" s="47"/>
      <c r="J125" s="45">
        <f>J126+J127</f>
        <v>660000</v>
      </c>
    </row>
    <row r="126" spans="1:13" ht="18" customHeight="1">
      <c r="A126" s="30"/>
      <c r="B126" s="46"/>
      <c r="C126" s="847" t="s">
        <v>71</v>
      </c>
      <c r="D126" s="842"/>
      <c r="E126" s="843"/>
      <c r="F126" s="277">
        <v>1</v>
      </c>
      <c r="G126" s="66" t="s">
        <v>399</v>
      </c>
      <c r="H126" s="279">
        <v>6</v>
      </c>
      <c r="I126" s="47">
        <v>50000</v>
      </c>
      <c r="J126" s="48">
        <f>F126*H126*I126</f>
        <v>300000</v>
      </c>
    </row>
    <row r="127" spans="1:13" ht="18" customHeight="1">
      <c r="A127" s="30"/>
      <c r="B127" s="46"/>
      <c r="C127" s="847" t="s">
        <v>96</v>
      </c>
      <c r="D127" s="842"/>
      <c r="E127" s="843"/>
      <c r="F127" s="277">
        <v>12</v>
      </c>
      <c r="G127" s="297" t="s">
        <v>399</v>
      </c>
      <c r="H127" s="279">
        <v>1</v>
      </c>
      <c r="I127" s="47">
        <v>30000</v>
      </c>
      <c r="J127" s="48">
        <f>F127*H127*I127</f>
        <v>360000</v>
      </c>
    </row>
    <row r="128" spans="1:13" ht="18" customHeight="1">
      <c r="A128" s="30"/>
      <c r="B128" s="46"/>
      <c r="C128" s="847" t="s">
        <v>98</v>
      </c>
      <c r="D128" s="842"/>
      <c r="E128" s="843"/>
      <c r="F128" s="277"/>
      <c r="G128" s="66"/>
      <c r="H128" s="279"/>
      <c r="I128" s="47"/>
      <c r="J128" s="45">
        <f>SUM(J129:J130)</f>
        <v>1050000</v>
      </c>
    </row>
    <row r="129" spans="1:10" ht="18" customHeight="1">
      <c r="A129" s="30"/>
      <c r="B129" s="46"/>
      <c r="C129" s="847" t="s">
        <v>71</v>
      </c>
      <c r="D129" s="842"/>
      <c r="E129" s="843"/>
      <c r="F129" s="277">
        <v>1</v>
      </c>
      <c r="G129" s="278" t="s">
        <v>399</v>
      </c>
      <c r="H129" s="279">
        <v>6</v>
      </c>
      <c r="I129" s="47">
        <v>150000</v>
      </c>
      <c r="J129" s="48">
        <f>SUM(F129*H129*I129)</f>
        <v>900000</v>
      </c>
    </row>
    <row r="130" spans="1:10" ht="18" customHeight="1">
      <c r="A130" s="30"/>
      <c r="B130" s="46"/>
      <c r="C130" s="847" t="s">
        <v>96</v>
      </c>
      <c r="D130" s="842"/>
      <c r="E130" s="843"/>
      <c r="F130" s="277">
        <v>1</v>
      </c>
      <c r="G130" s="66" t="s">
        <v>399</v>
      </c>
      <c r="H130" s="279">
        <v>2</v>
      </c>
      <c r="I130" s="47">
        <v>75000</v>
      </c>
      <c r="J130" s="48">
        <f>SUM(F130*H130*I130)</f>
        <v>150000</v>
      </c>
    </row>
    <row r="131" spans="1:10" ht="18" customHeight="1">
      <c r="A131" s="30"/>
      <c r="B131" s="46"/>
      <c r="C131" s="849" t="s">
        <v>30</v>
      </c>
      <c r="D131" s="842"/>
      <c r="E131" s="843"/>
      <c r="F131" s="277">
        <v>1</v>
      </c>
      <c r="G131" s="278" t="s">
        <v>99</v>
      </c>
      <c r="H131" s="279">
        <v>1</v>
      </c>
      <c r="I131" s="47">
        <v>4000000</v>
      </c>
      <c r="J131" s="45">
        <f>SUM(F131*I131)</f>
        <v>4000000</v>
      </c>
    </row>
    <row r="132" spans="1:10" ht="18" customHeight="1">
      <c r="A132" s="30"/>
      <c r="B132" s="46"/>
      <c r="C132" s="846" t="s">
        <v>100</v>
      </c>
      <c r="D132" s="842"/>
      <c r="E132" s="843"/>
      <c r="F132" s="288"/>
      <c r="G132" s="186"/>
      <c r="H132" s="280"/>
      <c r="I132" s="49"/>
      <c r="J132" s="45">
        <f>SUM(J133:J137)</f>
        <v>510000</v>
      </c>
    </row>
    <row r="133" spans="1:10" ht="18" customHeight="1">
      <c r="A133" s="30"/>
      <c r="B133" s="46" t="s">
        <v>23</v>
      </c>
      <c r="C133" s="847" t="s">
        <v>101</v>
      </c>
      <c r="D133" s="842"/>
      <c r="E133" s="843"/>
      <c r="F133" s="277">
        <v>5</v>
      </c>
      <c r="G133" s="278" t="s">
        <v>102</v>
      </c>
      <c r="H133" s="279">
        <v>1</v>
      </c>
      <c r="I133" s="47">
        <v>5000</v>
      </c>
      <c r="J133" s="48">
        <f>SUM(F133*H133*I133)</f>
        <v>25000</v>
      </c>
    </row>
    <row r="134" spans="1:10" ht="18" customHeight="1">
      <c r="A134" s="30"/>
      <c r="B134" s="46"/>
      <c r="C134" s="847" t="s">
        <v>103</v>
      </c>
      <c r="D134" s="842"/>
      <c r="E134" s="843"/>
      <c r="F134" s="277">
        <v>3</v>
      </c>
      <c r="G134" s="278" t="s">
        <v>102</v>
      </c>
      <c r="H134" s="279">
        <v>1</v>
      </c>
      <c r="I134" s="47">
        <v>20000</v>
      </c>
      <c r="J134" s="48">
        <f>SUM(F134*H134*I134)</f>
        <v>60000</v>
      </c>
    </row>
    <row r="135" spans="1:10" ht="18" customHeight="1">
      <c r="A135" s="30"/>
      <c r="B135" s="46"/>
      <c r="C135" s="851" t="s">
        <v>104</v>
      </c>
      <c r="D135" s="842"/>
      <c r="E135" s="843"/>
      <c r="F135" s="277">
        <v>11</v>
      </c>
      <c r="G135" s="278" t="s">
        <v>102</v>
      </c>
      <c r="H135" s="279">
        <v>1</v>
      </c>
      <c r="I135" s="47">
        <v>25000</v>
      </c>
      <c r="J135" s="48">
        <f>SUM(F135*H135*I135)</f>
        <v>275000</v>
      </c>
    </row>
    <row r="136" spans="1:10" ht="18" customHeight="1">
      <c r="A136" s="30"/>
      <c r="B136" s="46"/>
      <c r="C136" s="847" t="s">
        <v>105</v>
      </c>
      <c r="D136" s="842"/>
      <c r="E136" s="843"/>
      <c r="F136" s="277">
        <v>3</v>
      </c>
      <c r="G136" s="278" t="s">
        <v>102</v>
      </c>
      <c r="H136" s="279">
        <v>1</v>
      </c>
      <c r="I136" s="47">
        <v>20000</v>
      </c>
      <c r="J136" s="48">
        <f>SUM(F136*H136*I136)</f>
        <v>60000</v>
      </c>
    </row>
    <row r="137" spans="1:10" ht="18" customHeight="1">
      <c r="A137" s="30"/>
      <c r="B137" s="46"/>
      <c r="C137" s="847" t="s">
        <v>232</v>
      </c>
      <c r="D137" s="842"/>
      <c r="E137" s="843"/>
      <c r="F137" s="284">
        <v>1</v>
      </c>
      <c r="G137" s="184" t="s">
        <v>102</v>
      </c>
      <c r="H137" s="185">
        <v>12</v>
      </c>
      <c r="I137" s="47">
        <v>7500</v>
      </c>
      <c r="J137" s="48">
        <f>SUM(F137*H137*I137)</f>
        <v>90000</v>
      </c>
    </row>
    <row r="138" spans="1:10" ht="18" customHeight="1">
      <c r="A138" s="30"/>
      <c r="B138" s="46"/>
      <c r="C138" s="846" t="s">
        <v>106</v>
      </c>
      <c r="D138" s="842"/>
      <c r="E138" s="843"/>
      <c r="F138" s="288"/>
      <c r="G138" s="186"/>
      <c r="H138" s="187"/>
      <c r="I138" s="49"/>
      <c r="J138" s="45">
        <f>SUM(J139)</f>
        <v>7200000</v>
      </c>
    </row>
    <row r="139" spans="1:10" ht="18" customHeight="1">
      <c r="A139" s="30"/>
      <c r="B139" s="46"/>
      <c r="C139" s="847" t="s">
        <v>107</v>
      </c>
      <c r="D139" s="842"/>
      <c r="E139" s="843"/>
      <c r="F139" s="284">
        <v>1</v>
      </c>
      <c r="G139" s="278" t="s">
        <v>198</v>
      </c>
      <c r="H139" s="279">
        <v>12</v>
      </c>
      <c r="I139" s="47">
        <v>600000</v>
      </c>
      <c r="J139" s="48">
        <f>F139*H139*I139</f>
        <v>7200000</v>
      </c>
    </row>
    <row r="140" spans="1:10" ht="18" customHeight="1">
      <c r="A140" s="30"/>
      <c r="B140" s="46"/>
      <c r="C140" s="874" t="s">
        <v>694</v>
      </c>
      <c r="D140" s="895"/>
      <c r="E140" s="896"/>
      <c r="F140" s="497">
        <v>13</v>
      </c>
      <c r="G140" s="184" t="s">
        <v>399</v>
      </c>
      <c r="H140" s="185">
        <v>8</v>
      </c>
      <c r="I140" s="47">
        <v>8500</v>
      </c>
      <c r="J140" s="45">
        <f>F140*H140*I140</f>
        <v>884000</v>
      </c>
    </row>
    <row r="141" spans="1:10" ht="18" customHeight="1">
      <c r="A141" s="30"/>
      <c r="B141" s="46"/>
      <c r="C141" s="846" t="s">
        <v>31</v>
      </c>
      <c r="D141" s="842"/>
      <c r="E141" s="843"/>
      <c r="F141" s="288"/>
      <c r="G141" s="186"/>
      <c r="H141" s="187"/>
      <c r="I141" s="49"/>
      <c r="J141" s="45">
        <f>SUM(J142:J144)</f>
        <v>3516000</v>
      </c>
    </row>
    <row r="142" spans="1:10" ht="18" customHeight="1">
      <c r="A142" s="30"/>
      <c r="B142" s="46"/>
      <c r="C142" s="847" t="s">
        <v>108</v>
      </c>
      <c r="D142" s="842"/>
      <c r="E142" s="843"/>
      <c r="F142" s="277">
        <v>25</v>
      </c>
      <c r="G142" s="278" t="s">
        <v>64</v>
      </c>
      <c r="H142" s="279">
        <v>2</v>
      </c>
      <c r="I142" s="47">
        <v>25000</v>
      </c>
      <c r="J142" s="48">
        <f>SUM(F142*H142*I142)</f>
        <v>1250000</v>
      </c>
    </row>
    <row r="143" spans="1:10" ht="18" customHeight="1">
      <c r="A143" s="30"/>
      <c r="B143" s="46"/>
      <c r="C143" s="851" t="s">
        <v>109</v>
      </c>
      <c r="D143" s="842"/>
      <c r="E143" s="843"/>
      <c r="F143" s="284">
        <v>5</v>
      </c>
      <c r="G143" s="278" t="s">
        <v>64</v>
      </c>
      <c r="H143" s="185">
        <v>2</v>
      </c>
      <c r="I143" s="47">
        <v>25000</v>
      </c>
      <c r="J143" s="48">
        <f>SUM(F143*H143*I143)</f>
        <v>250000</v>
      </c>
    </row>
    <row r="144" spans="1:10" ht="18" customHeight="1">
      <c r="A144" s="30"/>
      <c r="B144" s="46"/>
      <c r="C144" s="847" t="s">
        <v>110</v>
      </c>
      <c r="D144" s="842"/>
      <c r="E144" s="843"/>
      <c r="F144" s="284">
        <v>14</v>
      </c>
      <c r="G144" s="278" t="s">
        <v>64</v>
      </c>
      <c r="H144" s="185">
        <v>12</v>
      </c>
      <c r="I144" s="47">
        <v>12000</v>
      </c>
      <c r="J144" s="48">
        <f>SUM(F144*H144*I144)</f>
        <v>2016000</v>
      </c>
    </row>
    <row r="145" spans="1:13" ht="36" customHeight="1">
      <c r="A145" s="30"/>
      <c r="B145" s="46"/>
      <c r="C145" s="849" t="s">
        <v>111</v>
      </c>
      <c r="D145" s="842"/>
      <c r="E145" s="843"/>
      <c r="F145" s="288"/>
      <c r="G145" s="191"/>
      <c r="H145" s="187"/>
      <c r="I145" s="49"/>
      <c r="J145" s="45">
        <f>(J146)</f>
        <v>3600000</v>
      </c>
    </row>
    <row r="146" spans="1:13" ht="18" customHeight="1">
      <c r="A146" s="30"/>
      <c r="B146" s="46"/>
      <c r="C146" s="847" t="s">
        <v>112</v>
      </c>
      <c r="D146" s="842"/>
      <c r="E146" s="843"/>
      <c r="F146" s="284">
        <v>1</v>
      </c>
      <c r="G146" s="278" t="s">
        <v>64</v>
      </c>
      <c r="H146" s="185">
        <v>12</v>
      </c>
      <c r="I146" s="47">
        <v>300000</v>
      </c>
      <c r="J146" s="48">
        <f>F146*H146*I146</f>
        <v>3600000</v>
      </c>
      <c r="M146" s="29">
        <v>24</v>
      </c>
    </row>
    <row r="147" spans="1:13" ht="18" customHeight="1">
      <c r="A147" s="30"/>
      <c r="B147" s="46"/>
      <c r="C147" s="846" t="s">
        <v>113</v>
      </c>
      <c r="D147" s="897"/>
      <c r="E147" s="898"/>
      <c r="F147" s="283"/>
      <c r="G147" s="278"/>
      <c r="H147" s="187"/>
      <c r="I147" s="47"/>
      <c r="J147" s="45">
        <f>J148</f>
        <v>1500000</v>
      </c>
      <c r="M147" s="29" t="e">
        <f>SUM(M146*#REF!)</f>
        <v>#REF!</v>
      </c>
    </row>
    <row r="148" spans="1:13" ht="31.5" customHeight="1">
      <c r="A148" s="30"/>
      <c r="B148" s="46"/>
      <c r="C148" s="847" t="s">
        <v>1007</v>
      </c>
      <c r="D148" s="842"/>
      <c r="E148" s="843"/>
      <c r="F148" s="277">
        <v>1</v>
      </c>
      <c r="G148" s="278" t="s">
        <v>114</v>
      </c>
      <c r="H148" s="279">
        <v>1</v>
      </c>
      <c r="I148" s="47">
        <v>1500000</v>
      </c>
      <c r="J148" s="48">
        <f>SUM(F148*H148*I148)</f>
        <v>1500000</v>
      </c>
    </row>
    <row r="149" spans="1:13" ht="18" customHeight="1">
      <c r="A149" s="30"/>
      <c r="B149" s="635">
        <v>3</v>
      </c>
      <c r="C149" s="846" t="s">
        <v>32</v>
      </c>
      <c r="D149" s="842"/>
      <c r="E149" s="843"/>
      <c r="F149" s="72"/>
      <c r="G149" s="73"/>
      <c r="H149" s="74"/>
      <c r="I149" s="49"/>
      <c r="J149" s="45">
        <f>SUM(J150:J153)</f>
        <v>12669000</v>
      </c>
    </row>
    <row r="150" spans="1:13" ht="18" customHeight="1">
      <c r="A150" s="30"/>
      <c r="B150" s="634"/>
      <c r="C150" s="892" t="s">
        <v>634</v>
      </c>
      <c r="D150" s="842"/>
      <c r="E150" s="843"/>
      <c r="F150" s="277">
        <v>2</v>
      </c>
      <c r="G150" s="297" t="s">
        <v>519</v>
      </c>
      <c r="H150" s="279">
        <v>1</v>
      </c>
      <c r="I150" s="47">
        <v>4000000</v>
      </c>
      <c r="J150" s="48">
        <f>F150*H150*I150</f>
        <v>8000000</v>
      </c>
    </row>
    <row r="151" spans="1:13" ht="18" customHeight="1">
      <c r="A151" s="437"/>
      <c r="B151" s="46"/>
      <c r="C151" s="892" t="s">
        <v>635</v>
      </c>
      <c r="D151" s="893"/>
      <c r="E151" s="894"/>
      <c r="F151" s="296">
        <v>1</v>
      </c>
      <c r="G151" s="297" t="s">
        <v>636</v>
      </c>
      <c r="H151" s="298">
        <v>1</v>
      </c>
      <c r="I151" s="47">
        <v>519000</v>
      </c>
      <c r="J151" s="48">
        <f>F151*H151*I151</f>
        <v>519000</v>
      </c>
    </row>
    <row r="152" spans="1:13" ht="18" customHeight="1">
      <c r="A152" s="440"/>
      <c r="B152" s="46"/>
      <c r="C152" s="892" t="s">
        <v>638</v>
      </c>
      <c r="D152" s="893"/>
      <c r="E152" s="894"/>
      <c r="F152" s="296">
        <v>1</v>
      </c>
      <c r="G152" s="297" t="s">
        <v>639</v>
      </c>
      <c r="H152" s="298">
        <v>1</v>
      </c>
      <c r="I152" s="47">
        <v>1750000</v>
      </c>
      <c r="J152" s="48">
        <f t="shared" ref="J152:J153" si="5">F152*H152*I152</f>
        <v>1750000</v>
      </c>
    </row>
    <row r="153" spans="1:13" ht="18" customHeight="1">
      <c r="A153" s="440"/>
      <c r="B153" s="46"/>
      <c r="C153" s="892" t="s">
        <v>641</v>
      </c>
      <c r="D153" s="893"/>
      <c r="E153" s="894"/>
      <c r="F153" s="296">
        <v>1</v>
      </c>
      <c r="G153" s="297" t="s">
        <v>639</v>
      </c>
      <c r="H153" s="298">
        <v>1</v>
      </c>
      <c r="I153" s="47">
        <v>2400000</v>
      </c>
      <c r="J153" s="48">
        <f t="shared" si="5"/>
        <v>2400000</v>
      </c>
      <c r="M153" s="29">
        <f>2500000-190000</f>
        <v>2310000</v>
      </c>
    </row>
    <row r="154" spans="1:13" ht="18" customHeight="1">
      <c r="A154" s="30"/>
      <c r="B154" s="27"/>
      <c r="C154" s="848" t="s">
        <v>75</v>
      </c>
      <c r="D154" s="842"/>
      <c r="E154" s="843"/>
      <c r="F154" s="286"/>
      <c r="G154" s="186"/>
      <c r="H154" s="54"/>
      <c r="I154" s="289"/>
      <c r="J154" s="55">
        <f>J105</f>
        <v>60300000</v>
      </c>
    </row>
    <row r="155" spans="1:13">
      <c r="A155" s="30"/>
      <c r="B155" s="287"/>
      <c r="C155" s="287"/>
      <c r="D155" s="30"/>
      <c r="E155" s="30"/>
      <c r="F155" s="31"/>
      <c r="G155" s="861" t="s">
        <v>982</v>
      </c>
      <c r="H155" s="861"/>
      <c r="I155" s="861"/>
      <c r="J155" s="861"/>
    </row>
    <row r="156" spans="1:13">
      <c r="A156" s="30"/>
      <c r="B156" s="281"/>
      <c r="C156" s="281"/>
      <c r="D156" s="287" t="s">
        <v>76</v>
      </c>
      <c r="E156" s="287"/>
      <c r="F156" s="31"/>
      <c r="G156" s="840" t="s">
        <v>77</v>
      </c>
      <c r="H156" s="840"/>
      <c r="I156" s="840"/>
      <c r="J156" s="840"/>
    </row>
    <row r="157" spans="1:13" ht="14.25" customHeight="1">
      <c r="A157" s="30"/>
      <c r="B157" s="281"/>
      <c r="C157" s="840" t="s">
        <v>50</v>
      </c>
      <c r="D157" s="840"/>
      <c r="E157" s="840"/>
      <c r="F157" s="31"/>
      <c r="G157" s="31"/>
      <c r="H157" s="31"/>
      <c r="I157" s="30"/>
      <c r="J157" s="30"/>
    </row>
    <row r="158" spans="1:13">
      <c r="A158" s="30"/>
      <c r="B158" s="30"/>
      <c r="C158" s="30"/>
      <c r="D158" s="30"/>
      <c r="E158" s="30"/>
      <c r="F158" s="31"/>
      <c r="G158" s="31"/>
      <c r="H158" s="31"/>
      <c r="I158" s="30"/>
      <c r="J158" s="30"/>
    </row>
    <row r="159" spans="1:13">
      <c r="A159" s="30"/>
      <c r="B159" s="30"/>
      <c r="C159" s="30"/>
      <c r="D159" s="30"/>
      <c r="E159" s="30"/>
      <c r="F159" s="31"/>
      <c r="G159" s="31"/>
      <c r="H159" s="31"/>
      <c r="I159" s="30"/>
      <c r="J159" s="30"/>
    </row>
    <row r="160" spans="1:13">
      <c r="A160" s="30"/>
      <c r="B160" s="30"/>
      <c r="C160" s="30"/>
      <c r="D160" s="281"/>
      <c r="E160" s="281"/>
      <c r="F160" s="31"/>
      <c r="G160" s="31"/>
      <c r="H160" s="31"/>
      <c r="I160" s="30"/>
      <c r="J160" s="30"/>
    </row>
    <row r="161" spans="1:10">
      <c r="A161" s="30"/>
      <c r="B161" s="281"/>
      <c r="C161" s="281"/>
      <c r="D161" s="287" t="s">
        <v>51</v>
      </c>
      <c r="E161" s="287"/>
      <c r="F161" s="31"/>
      <c r="G161" s="840" t="s">
        <v>223</v>
      </c>
      <c r="H161" s="840"/>
      <c r="I161" s="840"/>
      <c r="J161" s="840"/>
    </row>
    <row r="166" spans="1:10" ht="15">
      <c r="A166" s="862" t="s">
        <v>54</v>
      </c>
      <c r="B166" s="862"/>
      <c r="C166" s="862"/>
      <c r="D166" s="862"/>
      <c r="E166" s="862"/>
      <c r="F166" s="862"/>
      <c r="G166" s="862"/>
      <c r="H166" s="862"/>
      <c r="I166" s="862"/>
      <c r="J166" s="862"/>
    </row>
    <row r="167" spans="1:10" ht="15">
      <c r="A167" s="862" t="s">
        <v>79</v>
      </c>
      <c r="B167" s="862"/>
      <c r="C167" s="862"/>
      <c r="D167" s="862"/>
      <c r="E167" s="862"/>
      <c r="F167" s="862"/>
      <c r="G167" s="862"/>
      <c r="H167" s="862"/>
      <c r="I167" s="862"/>
      <c r="J167" s="862"/>
    </row>
    <row r="168" spans="1:10" ht="15">
      <c r="A168" s="862" t="s">
        <v>53</v>
      </c>
      <c r="B168" s="862"/>
      <c r="C168" s="862"/>
      <c r="D168" s="862"/>
      <c r="E168" s="862"/>
      <c r="F168" s="862"/>
      <c r="G168" s="862"/>
      <c r="H168" s="862"/>
      <c r="I168" s="862"/>
      <c r="J168" s="862"/>
    </row>
    <row r="169" spans="1:10" ht="9" customHeight="1">
      <c r="A169" s="282"/>
      <c r="B169" s="282"/>
      <c r="C169" s="282"/>
      <c r="D169" s="282"/>
      <c r="E169" s="282"/>
      <c r="F169" s="282"/>
      <c r="G169" s="282"/>
      <c r="H169" s="282"/>
      <c r="I169" s="282"/>
      <c r="J169" s="282"/>
    </row>
    <row r="170" spans="1:10">
      <c r="A170" s="287">
        <v>1</v>
      </c>
      <c r="B170" s="30" t="s">
        <v>172</v>
      </c>
      <c r="C170" s="30"/>
      <c r="D170" s="30" t="s">
        <v>235</v>
      </c>
      <c r="E170" s="30"/>
      <c r="F170" s="31"/>
      <c r="G170" s="31"/>
      <c r="H170" s="31"/>
      <c r="I170" s="30"/>
      <c r="J170" s="287"/>
    </row>
    <row r="171" spans="1:10">
      <c r="A171" s="287">
        <v>2</v>
      </c>
      <c r="B171" s="30" t="s">
        <v>173</v>
      </c>
      <c r="C171" s="30"/>
      <c r="D171" s="30" t="s">
        <v>238</v>
      </c>
      <c r="E171" s="30"/>
      <c r="F171" s="31"/>
      <c r="G171" s="31"/>
      <c r="H171" s="31"/>
      <c r="I171" s="30"/>
      <c r="J171" s="30"/>
    </row>
    <row r="172" spans="1:10">
      <c r="A172" s="287">
        <v>3</v>
      </c>
      <c r="B172" s="30" t="s">
        <v>174</v>
      </c>
      <c r="C172" s="30"/>
      <c r="D172" s="535" t="s">
        <v>923</v>
      </c>
      <c r="E172" s="30"/>
      <c r="F172" s="31"/>
      <c r="G172" s="31"/>
      <c r="H172" s="31"/>
      <c r="I172" s="30"/>
      <c r="J172" s="30"/>
    </row>
    <row r="173" spans="1:10">
      <c r="A173" s="287">
        <v>4</v>
      </c>
      <c r="B173" s="30" t="s">
        <v>183</v>
      </c>
      <c r="C173" s="30"/>
      <c r="D173" s="30" t="s">
        <v>187</v>
      </c>
      <c r="F173" s="31"/>
      <c r="G173" s="31"/>
      <c r="H173" s="31"/>
      <c r="I173" s="30"/>
      <c r="J173" s="30"/>
    </row>
    <row r="174" spans="1:10">
      <c r="A174" s="287">
        <v>5</v>
      </c>
      <c r="B174" s="30" t="s">
        <v>184</v>
      </c>
      <c r="C174" s="30"/>
      <c r="D174" s="30" t="s">
        <v>236</v>
      </c>
      <c r="E174" s="35">
        <f>APBDes2017!H60</f>
        <v>3058000</v>
      </c>
      <c r="F174" s="34"/>
      <c r="G174" s="31"/>
      <c r="H174" s="31"/>
      <c r="I174" s="30"/>
      <c r="J174" s="30"/>
    </row>
    <row r="175" spans="1:10">
      <c r="A175" s="287">
        <v>6</v>
      </c>
      <c r="B175" s="30" t="s">
        <v>234</v>
      </c>
      <c r="C175" s="30"/>
      <c r="D175" s="30" t="s">
        <v>236</v>
      </c>
      <c r="E175" s="35">
        <f>J180</f>
        <v>3058000</v>
      </c>
      <c r="F175" s="31"/>
      <c r="G175" s="31"/>
      <c r="H175" s="31"/>
      <c r="I175" s="30"/>
      <c r="J175" s="30"/>
    </row>
    <row r="176" spans="1:10">
      <c r="A176" s="287"/>
      <c r="B176" s="30" t="s">
        <v>194</v>
      </c>
      <c r="C176" s="30"/>
      <c r="D176" s="30"/>
      <c r="E176" s="30"/>
      <c r="F176" s="31"/>
      <c r="G176" s="31"/>
      <c r="H176" s="31"/>
      <c r="I176" s="30"/>
      <c r="J176" s="30"/>
    </row>
    <row r="177" spans="1:13" ht="28.5">
      <c r="A177" s="30"/>
      <c r="B177" s="866" t="s">
        <v>56</v>
      </c>
      <c r="C177" s="852" t="s">
        <v>0</v>
      </c>
      <c r="D177" s="853"/>
      <c r="E177" s="854"/>
      <c r="F177" s="852" t="s">
        <v>57</v>
      </c>
      <c r="G177" s="853"/>
      <c r="H177" s="854"/>
      <c r="I177" s="193" t="s">
        <v>58</v>
      </c>
      <c r="J177" s="193" t="s">
        <v>59</v>
      </c>
    </row>
    <row r="178" spans="1:13">
      <c r="A178" s="30"/>
      <c r="B178" s="867"/>
      <c r="C178" s="855"/>
      <c r="D178" s="856"/>
      <c r="E178" s="857"/>
      <c r="F178" s="875"/>
      <c r="G178" s="856"/>
      <c r="H178" s="857"/>
      <c r="I178" s="37" t="s">
        <v>52</v>
      </c>
      <c r="J178" s="37" t="s">
        <v>52</v>
      </c>
    </row>
    <row r="179" spans="1:13">
      <c r="A179" s="30"/>
      <c r="B179" s="188">
        <v>1</v>
      </c>
      <c r="C179" s="844">
        <v>2</v>
      </c>
      <c r="D179" s="842"/>
      <c r="E179" s="843"/>
      <c r="F179" s="844">
        <v>3</v>
      </c>
      <c r="G179" s="859"/>
      <c r="H179" s="860"/>
      <c r="I179" s="37">
        <v>4</v>
      </c>
      <c r="J179" s="37">
        <v>5</v>
      </c>
    </row>
    <row r="180" spans="1:13" ht="15" customHeight="1">
      <c r="A180" s="30"/>
      <c r="B180" s="57" t="s">
        <v>164</v>
      </c>
      <c r="C180" s="845" t="s">
        <v>33</v>
      </c>
      <c r="D180" s="842"/>
      <c r="E180" s="843"/>
      <c r="F180" s="58"/>
      <c r="G180" s="59"/>
      <c r="H180" s="60"/>
      <c r="I180" s="61"/>
      <c r="J180" s="62">
        <f>SUM(J181+J185)</f>
        <v>3058000</v>
      </c>
    </row>
    <row r="181" spans="1:13" ht="15.75" customHeight="1">
      <c r="A181" s="30"/>
      <c r="B181" s="63" t="s">
        <v>165</v>
      </c>
      <c r="C181" s="841" t="s">
        <v>34</v>
      </c>
      <c r="D181" s="842"/>
      <c r="E181" s="843"/>
      <c r="F181" s="445" t="s">
        <v>630</v>
      </c>
      <c r="G181" s="446" t="s">
        <v>631</v>
      </c>
      <c r="H181" s="447" t="s">
        <v>632</v>
      </c>
      <c r="I181" s="190"/>
      <c r="J181" s="42">
        <f>SUM(J182+J184)</f>
        <v>1408000</v>
      </c>
    </row>
    <row r="182" spans="1:13" ht="15" customHeight="1">
      <c r="A182" s="30"/>
      <c r="B182" s="43"/>
      <c r="C182" s="849" t="s">
        <v>27</v>
      </c>
      <c r="D182" s="842"/>
      <c r="E182" s="843"/>
      <c r="F182" s="291"/>
      <c r="G182" s="64"/>
      <c r="H182" s="192"/>
      <c r="I182" s="65"/>
      <c r="J182" s="45">
        <f>SUM(J183:J183)</f>
        <v>33000</v>
      </c>
    </row>
    <row r="183" spans="1:13">
      <c r="A183" s="30"/>
      <c r="B183" s="46"/>
      <c r="C183" s="847" t="s">
        <v>84</v>
      </c>
      <c r="D183" s="842"/>
      <c r="E183" s="843"/>
      <c r="F183" s="322">
        <v>11</v>
      </c>
      <c r="G183" s="322" t="s">
        <v>102</v>
      </c>
      <c r="H183" s="322">
        <v>1</v>
      </c>
      <c r="I183" s="47">
        <v>3000</v>
      </c>
      <c r="J183" s="48">
        <f t="shared" ref="J183:J184" si="6">SUM(F183*H183*I183)</f>
        <v>33000</v>
      </c>
    </row>
    <row r="184" spans="1:13" ht="15.75" customHeight="1">
      <c r="A184" s="30"/>
      <c r="B184" s="46"/>
      <c r="C184" s="851" t="s">
        <v>400</v>
      </c>
      <c r="D184" s="842"/>
      <c r="E184" s="843"/>
      <c r="F184" s="323">
        <v>11</v>
      </c>
      <c r="G184" s="323" t="s">
        <v>64</v>
      </c>
      <c r="H184" s="323">
        <v>5</v>
      </c>
      <c r="I184" s="179">
        <v>25000</v>
      </c>
      <c r="J184" s="179">
        <f t="shared" si="6"/>
        <v>1375000</v>
      </c>
      <c r="L184" s="32">
        <f>175550/11</f>
        <v>15959.09090909091</v>
      </c>
      <c r="M184" s="29">
        <f>150000/4</f>
        <v>37500</v>
      </c>
    </row>
    <row r="185" spans="1:13" ht="18" customHeight="1">
      <c r="A185" s="30"/>
      <c r="B185" s="71" t="s">
        <v>401</v>
      </c>
      <c r="C185" s="846" t="s">
        <v>32</v>
      </c>
      <c r="D185" s="842"/>
      <c r="E185" s="843"/>
      <c r="F185" s="27"/>
      <c r="G185" s="27"/>
      <c r="H185" s="27"/>
      <c r="I185" s="27"/>
      <c r="J185" s="55">
        <f>J186</f>
        <v>1650000</v>
      </c>
    </row>
    <row r="186" spans="1:13" ht="18" customHeight="1">
      <c r="A186" s="30"/>
      <c r="B186" s="46"/>
      <c r="C186" s="863" t="s">
        <v>637</v>
      </c>
      <c r="D186" s="864"/>
      <c r="E186" s="865"/>
      <c r="F186" s="324">
        <v>11</v>
      </c>
      <c r="G186" s="324" t="s">
        <v>64</v>
      </c>
      <c r="H186" s="324">
        <v>1</v>
      </c>
      <c r="I186" s="438">
        <v>150000</v>
      </c>
      <c r="J186" s="438">
        <f>SUM(F186*I186)</f>
        <v>1650000</v>
      </c>
    </row>
    <row r="187" spans="1:13" ht="18" customHeight="1">
      <c r="A187" s="30"/>
      <c r="B187" s="27"/>
      <c r="C187" s="848" t="s">
        <v>75</v>
      </c>
      <c r="D187" s="842"/>
      <c r="E187" s="843"/>
      <c r="F187" s="176"/>
      <c r="G187" s="177"/>
      <c r="H187" s="178"/>
      <c r="I187" s="289"/>
      <c r="J187" s="55">
        <f>J180</f>
        <v>3058000</v>
      </c>
    </row>
    <row r="188" spans="1:13" ht="18" customHeight="1">
      <c r="A188" s="30"/>
      <c r="B188" s="287"/>
      <c r="C188" s="287"/>
      <c r="D188" s="30"/>
      <c r="E188" s="30"/>
      <c r="F188" s="31"/>
      <c r="G188" s="861" t="s">
        <v>982</v>
      </c>
      <c r="H188" s="861"/>
      <c r="I188" s="861"/>
      <c r="J188" s="861"/>
    </row>
    <row r="189" spans="1:13" ht="18" customHeight="1">
      <c r="A189" s="30"/>
      <c r="B189" s="281"/>
      <c r="C189" s="281"/>
      <c r="D189" s="287" t="s">
        <v>76</v>
      </c>
      <c r="E189" s="287"/>
      <c r="F189" s="31"/>
      <c r="G189" s="840" t="s">
        <v>77</v>
      </c>
      <c r="H189" s="840"/>
      <c r="I189" s="840"/>
      <c r="J189" s="840"/>
    </row>
    <row r="190" spans="1:13" ht="15.95" customHeight="1">
      <c r="A190" s="30"/>
      <c r="B190" s="281"/>
      <c r="C190" s="840" t="s">
        <v>50</v>
      </c>
      <c r="D190" s="840"/>
      <c r="E190" s="840"/>
      <c r="F190" s="31"/>
      <c r="G190" s="31"/>
      <c r="H190" s="31"/>
      <c r="I190" s="30"/>
      <c r="J190" s="30"/>
    </row>
    <row r="191" spans="1:13" ht="15.95" customHeight="1">
      <c r="A191" s="30"/>
      <c r="B191" s="30"/>
      <c r="C191" s="30"/>
      <c r="D191" s="30"/>
      <c r="E191" s="30"/>
      <c r="F191" s="31"/>
      <c r="G191" s="31"/>
      <c r="H191" s="31"/>
      <c r="I191" s="30"/>
      <c r="J191" s="30"/>
    </row>
    <row r="192" spans="1:13" ht="15.95" customHeight="1">
      <c r="A192" s="30"/>
      <c r="B192" s="30"/>
      <c r="C192" s="30"/>
      <c r="D192" s="30"/>
      <c r="E192" s="30"/>
      <c r="F192" s="31"/>
      <c r="G192" s="31"/>
      <c r="H192" s="31"/>
      <c r="I192" s="30"/>
      <c r="J192" s="30"/>
    </row>
    <row r="193" spans="1:10" ht="15.95" customHeight="1">
      <c r="A193" s="30"/>
      <c r="B193" s="30"/>
      <c r="C193" s="30"/>
      <c r="D193" s="281"/>
      <c r="E193" s="281"/>
      <c r="F193" s="31"/>
      <c r="G193" s="31"/>
      <c r="H193" s="31"/>
      <c r="I193" s="30"/>
      <c r="J193" s="30"/>
    </row>
    <row r="194" spans="1:10" ht="18" customHeight="1">
      <c r="A194" s="30"/>
      <c r="B194" s="281"/>
      <c r="C194" s="281"/>
      <c r="D194" s="287" t="s">
        <v>51</v>
      </c>
      <c r="E194" s="287"/>
      <c r="F194" s="31"/>
      <c r="G194" s="840" t="s">
        <v>224</v>
      </c>
      <c r="H194" s="840"/>
      <c r="I194" s="840"/>
      <c r="J194" s="840"/>
    </row>
    <row r="195" spans="1:10" ht="18" customHeight="1"/>
    <row r="196" spans="1:10" ht="18" customHeight="1"/>
    <row r="197" spans="1:10" ht="18" customHeight="1"/>
    <row r="198" spans="1:10" ht="18" customHeight="1"/>
    <row r="199" spans="1:10" ht="18" customHeight="1"/>
    <row r="200" spans="1:10" ht="18" customHeight="1">
      <c r="A200" s="862" t="s">
        <v>54</v>
      </c>
      <c r="B200" s="862"/>
      <c r="C200" s="862"/>
      <c r="D200" s="862"/>
      <c r="E200" s="862"/>
      <c r="F200" s="862"/>
      <c r="G200" s="862"/>
      <c r="H200" s="862"/>
      <c r="I200" s="862"/>
      <c r="J200" s="862"/>
    </row>
    <row r="201" spans="1:10" ht="18" customHeight="1">
      <c r="A201" s="862" t="s">
        <v>79</v>
      </c>
      <c r="B201" s="862"/>
      <c r="C201" s="862"/>
      <c r="D201" s="862"/>
      <c r="E201" s="862"/>
      <c r="F201" s="862"/>
      <c r="G201" s="862"/>
      <c r="H201" s="862"/>
      <c r="I201" s="862"/>
      <c r="J201" s="862"/>
    </row>
    <row r="202" spans="1:10" ht="18" customHeight="1">
      <c r="A202" s="862" t="s">
        <v>914</v>
      </c>
      <c r="B202" s="862"/>
      <c r="C202" s="862"/>
      <c r="D202" s="862"/>
      <c r="E202" s="862"/>
      <c r="F202" s="862"/>
      <c r="G202" s="862"/>
      <c r="H202" s="862"/>
      <c r="I202" s="862"/>
      <c r="J202" s="862"/>
    </row>
    <row r="203" spans="1:10" ht="9" customHeight="1">
      <c r="A203" s="30"/>
      <c r="B203" s="287"/>
      <c r="C203" s="287"/>
      <c r="D203" s="287"/>
      <c r="E203" s="287"/>
      <c r="F203" s="294"/>
      <c r="G203" s="294"/>
      <c r="H203" s="294"/>
      <c r="I203" s="287"/>
      <c r="J203" s="287"/>
    </row>
    <row r="204" spans="1:10" ht="18" customHeight="1">
      <c r="A204" s="287">
        <v>1</v>
      </c>
      <c r="B204" s="30" t="s">
        <v>172</v>
      </c>
      <c r="C204" s="30"/>
      <c r="D204" s="30" t="s">
        <v>235</v>
      </c>
      <c r="E204" s="30"/>
      <c r="F204" s="31"/>
      <c r="G204" s="31"/>
      <c r="H204" s="31"/>
      <c r="I204" s="30"/>
      <c r="J204" s="30"/>
    </row>
    <row r="205" spans="1:10" ht="18" customHeight="1">
      <c r="A205" s="287">
        <v>2</v>
      </c>
      <c r="B205" s="30" t="s">
        <v>173</v>
      </c>
      <c r="C205" s="30"/>
      <c r="D205" s="30" t="s">
        <v>237</v>
      </c>
      <c r="E205" s="30"/>
      <c r="F205" s="31"/>
      <c r="G205" s="31"/>
      <c r="H205" s="31"/>
      <c r="I205" s="30"/>
      <c r="J205" s="30"/>
    </row>
    <row r="206" spans="1:10" ht="18" customHeight="1">
      <c r="A206" s="287">
        <v>3</v>
      </c>
      <c r="B206" s="30" t="s">
        <v>174</v>
      </c>
      <c r="C206" s="30"/>
      <c r="D206" s="535" t="s">
        <v>923</v>
      </c>
      <c r="E206" s="30"/>
      <c r="F206" s="31"/>
      <c r="G206" s="31"/>
      <c r="H206" s="31"/>
      <c r="I206" s="30"/>
      <c r="J206" s="30"/>
    </row>
    <row r="207" spans="1:10">
      <c r="A207" s="287">
        <v>4</v>
      </c>
      <c r="B207" s="30" t="s">
        <v>183</v>
      </c>
      <c r="C207" s="30"/>
      <c r="D207" s="30" t="s">
        <v>187</v>
      </c>
      <c r="F207" s="31"/>
      <c r="G207" s="31"/>
      <c r="H207" s="31"/>
      <c r="I207" s="30"/>
      <c r="J207" s="30"/>
    </row>
    <row r="208" spans="1:10">
      <c r="A208" s="287">
        <v>5</v>
      </c>
      <c r="B208" s="30" t="s">
        <v>184</v>
      </c>
      <c r="C208" s="30"/>
      <c r="D208" s="30" t="s">
        <v>236</v>
      </c>
      <c r="E208" s="431">
        <f>APBDes2017!H63</f>
        <v>35100000</v>
      </c>
      <c r="F208" s="34"/>
      <c r="G208" s="31"/>
      <c r="H208" s="31"/>
      <c r="I208" s="30"/>
      <c r="J208" s="30"/>
    </row>
    <row r="209" spans="1:10">
      <c r="A209" s="287">
        <v>6</v>
      </c>
      <c r="B209" s="30" t="s">
        <v>234</v>
      </c>
      <c r="C209" s="30"/>
      <c r="D209" s="30" t="s">
        <v>236</v>
      </c>
      <c r="E209" s="431">
        <f>J214</f>
        <v>35100000</v>
      </c>
      <c r="F209" s="31"/>
      <c r="G209" s="31"/>
      <c r="H209" s="31"/>
      <c r="I209" s="30"/>
      <c r="J209" s="30"/>
    </row>
    <row r="210" spans="1:10">
      <c r="A210" s="287"/>
      <c r="B210" s="30" t="s">
        <v>194</v>
      </c>
      <c r="C210" s="30"/>
      <c r="D210" s="30"/>
      <c r="E210" s="30"/>
      <c r="F210" s="31"/>
      <c r="G210" s="31"/>
      <c r="H210" s="31"/>
      <c r="I210" s="30"/>
      <c r="J210" s="30"/>
    </row>
    <row r="211" spans="1:10" ht="28.5">
      <c r="A211" s="30"/>
      <c r="B211" s="866" t="s">
        <v>56</v>
      </c>
      <c r="C211" s="852" t="s">
        <v>0</v>
      </c>
      <c r="D211" s="853"/>
      <c r="E211" s="854"/>
      <c r="F211" s="852" t="s">
        <v>57</v>
      </c>
      <c r="G211" s="853"/>
      <c r="H211" s="854"/>
      <c r="I211" s="193" t="s">
        <v>58</v>
      </c>
      <c r="J211" s="193" t="s">
        <v>59</v>
      </c>
    </row>
    <row r="212" spans="1:10">
      <c r="A212" s="30"/>
      <c r="B212" s="867"/>
      <c r="C212" s="855"/>
      <c r="D212" s="856"/>
      <c r="E212" s="857"/>
      <c r="F212" s="875"/>
      <c r="G212" s="856"/>
      <c r="H212" s="857"/>
      <c r="I212" s="37" t="s">
        <v>52</v>
      </c>
      <c r="J212" s="37" t="s">
        <v>52</v>
      </c>
    </row>
    <row r="213" spans="1:10">
      <c r="A213" s="30"/>
      <c r="B213" s="188">
        <v>1</v>
      </c>
      <c r="C213" s="844">
        <v>2</v>
      </c>
      <c r="D213" s="842"/>
      <c r="E213" s="843"/>
      <c r="F213" s="844">
        <v>3</v>
      </c>
      <c r="G213" s="859"/>
      <c r="H213" s="860"/>
      <c r="I213" s="37">
        <v>4</v>
      </c>
      <c r="J213" s="37">
        <v>5</v>
      </c>
    </row>
    <row r="214" spans="1:10" ht="15" customHeight="1">
      <c r="A214" s="30"/>
      <c r="B214" s="57" t="s">
        <v>166</v>
      </c>
      <c r="C214" s="845" t="s">
        <v>168</v>
      </c>
      <c r="D214" s="842"/>
      <c r="E214" s="843"/>
      <c r="F214" s="58"/>
      <c r="G214" s="59"/>
      <c r="H214" s="60"/>
      <c r="I214" s="61"/>
      <c r="J214" s="62">
        <f>SUM(J215+J219)</f>
        <v>35100000</v>
      </c>
    </row>
    <row r="215" spans="1:10" ht="15.75" customHeight="1">
      <c r="A215" s="30"/>
      <c r="B215" s="63" t="s">
        <v>167</v>
      </c>
      <c r="C215" s="841" t="s">
        <v>34</v>
      </c>
      <c r="D215" s="842"/>
      <c r="E215" s="843"/>
      <c r="F215" s="290"/>
      <c r="G215" s="189"/>
      <c r="H215" s="190"/>
      <c r="I215" s="190"/>
      <c r="J215" s="42">
        <f>SUM(J216+J217)</f>
        <v>35100000</v>
      </c>
    </row>
    <row r="216" spans="1:10" ht="15" customHeight="1">
      <c r="A216" s="30"/>
      <c r="B216" s="43"/>
      <c r="C216" s="849" t="s">
        <v>27</v>
      </c>
      <c r="D216" s="842"/>
      <c r="E216" s="843"/>
      <c r="F216" s="291"/>
      <c r="G216" s="64"/>
      <c r="H216" s="192"/>
      <c r="I216" s="65"/>
      <c r="J216" s="45">
        <v>0</v>
      </c>
    </row>
    <row r="217" spans="1:10" ht="15">
      <c r="A217" s="30"/>
      <c r="B217" s="46"/>
      <c r="C217" s="849" t="s">
        <v>202</v>
      </c>
      <c r="D217" s="842"/>
      <c r="E217" s="843"/>
      <c r="F217" s="283"/>
      <c r="G217" s="292"/>
      <c r="H217" s="289"/>
      <c r="I217" s="49"/>
      <c r="J217" s="45">
        <f>SUM(J218:J218)</f>
        <v>35100000</v>
      </c>
    </row>
    <row r="218" spans="1:10">
      <c r="A218" s="30"/>
      <c r="B218" s="46"/>
      <c r="C218" s="847" t="s">
        <v>203</v>
      </c>
      <c r="D218" s="842"/>
      <c r="E218" s="843"/>
      <c r="F218" s="277">
        <v>39</v>
      </c>
      <c r="G218" s="278" t="s">
        <v>64</v>
      </c>
      <c r="H218" s="279">
        <v>12</v>
      </c>
      <c r="I218" s="47">
        <v>75000</v>
      </c>
      <c r="J218" s="48">
        <f>SUM(F218*H218*I218)</f>
        <v>35100000</v>
      </c>
    </row>
    <row r="219" spans="1:10" ht="18" customHeight="1">
      <c r="A219" s="30"/>
      <c r="B219" s="71" t="s">
        <v>169</v>
      </c>
      <c r="C219" s="846" t="s">
        <v>32</v>
      </c>
      <c r="D219" s="842"/>
      <c r="E219" s="843"/>
      <c r="F219" s="72"/>
      <c r="G219" s="73"/>
      <c r="H219" s="74"/>
      <c r="I219" s="49"/>
      <c r="J219" s="45">
        <f>SUM(J220:J220)</f>
        <v>0</v>
      </c>
    </row>
    <row r="220" spans="1:10" ht="18" customHeight="1">
      <c r="A220" s="30"/>
      <c r="B220" s="46"/>
      <c r="C220" s="847"/>
      <c r="D220" s="842"/>
      <c r="E220" s="843"/>
      <c r="F220" s="277"/>
      <c r="G220" s="278"/>
      <c r="H220" s="279"/>
      <c r="I220" s="47"/>
      <c r="J220" s="48"/>
    </row>
    <row r="221" spans="1:10" ht="18" customHeight="1">
      <c r="A221" s="30"/>
      <c r="B221" s="27"/>
      <c r="C221" s="848" t="s">
        <v>75</v>
      </c>
      <c r="D221" s="842"/>
      <c r="E221" s="843"/>
      <c r="F221" s="286"/>
      <c r="G221" s="186"/>
      <c r="H221" s="54"/>
      <c r="I221" s="289"/>
      <c r="J221" s="55">
        <f>SUM(J215+J219)</f>
        <v>35100000</v>
      </c>
    </row>
    <row r="222" spans="1:10" ht="14.25" customHeight="1">
      <c r="A222" s="30"/>
      <c r="B222" s="287"/>
      <c r="C222" s="287"/>
      <c r="D222" s="30"/>
      <c r="E222" s="30"/>
      <c r="F222" s="31"/>
      <c r="G222" s="861" t="s">
        <v>982</v>
      </c>
      <c r="H222" s="861"/>
      <c r="I222" s="861"/>
      <c r="J222" s="861"/>
    </row>
    <row r="223" spans="1:10">
      <c r="A223" s="30"/>
      <c r="B223" s="281"/>
      <c r="C223" s="281"/>
      <c r="D223" s="287" t="s">
        <v>76</v>
      </c>
      <c r="E223" s="287"/>
      <c r="F223" s="31"/>
      <c r="G223" s="840" t="s">
        <v>77</v>
      </c>
      <c r="H223" s="840"/>
      <c r="I223" s="840"/>
      <c r="J223" s="840"/>
    </row>
    <row r="224" spans="1:10" ht="14.25" customHeight="1">
      <c r="A224" s="30"/>
      <c r="B224" s="281"/>
      <c r="C224" s="840" t="s">
        <v>50</v>
      </c>
      <c r="D224" s="840"/>
      <c r="E224" s="840"/>
      <c r="F224" s="31"/>
      <c r="G224" s="31"/>
      <c r="H224" s="31"/>
      <c r="I224" s="30"/>
      <c r="J224" s="30"/>
    </row>
    <row r="225" spans="1:10">
      <c r="A225" s="30"/>
      <c r="B225" s="30"/>
      <c r="C225" s="30"/>
      <c r="D225" s="30"/>
      <c r="E225" s="30"/>
      <c r="F225" s="31"/>
      <c r="G225" s="31"/>
      <c r="H225" s="31"/>
      <c r="I225" s="30"/>
      <c r="J225" s="30"/>
    </row>
    <row r="226" spans="1:10">
      <c r="A226" s="30"/>
      <c r="B226" s="30"/>
      <c r="C226" s="30"/>
      <c r="D226" s="30"/>
      <c r="E226" s="30"/>
      <c r="F226" s="31"/>
      <c r="G226" s="31"/>
      <c r="H226" s="31"/>
      <c r="I226" s="30"/>
      <c r="J226" s="30"/>
    </row>
    <row r="227" spans="1:10">
      <c r="A227" s="30"/>
      <c r="B227" s="30"/>
      <c r="C227" s="30"/>
      <c r="D227" s="281"/>
      <c r="E227" s="281"/>
      <c r="F227" s="31"/>
      <c r="G227" s="31"/>
      <c r="H227" s="31"/>
      <c r="I227" s="30"/>
      <c r="J227" s="30"/>
    </row>
    <row r="228" spans="1:10">
      <c r="A228" s="30"/>
      <c r="B228" s="281"/>
      <c r="C228" s="281"/>
      <c r="D228" s="287" t="s">
        <v>51</v>
      </c>
      <c r="E228" s="287"/>
      <c r="F228" s="31"/>
      <c r="G228" s="840" t="s">
        <v>224</v>
      </c>
      <c r="H228" s="840"/>
      <c r="I228" s="840"/>
      <c r="J228" s="840"/>
    </row>
    <row r="230" spans="1:10">
      <c r="A230" s="30"/>
      <c r="B230" s="30"/>
      <c r="C230" s="30"/>
      <c r="D230" s="30"/>
      <c r="E230" s="30"/>
      <c r="F230" s="31"/>
      <c r="G230" s="31"/>
      <c r="H230" s="31"/>
      <c r="I230" s="30"/>
      <c r="J230" s="30"/>
    </row>
    <row r="231" spans="1:10">
      <c r="A231" s="30"/>
      <c r="B231" s="824" t="s">
        <v>54</v>
      </c>
      <c r="C231" s="824"/>
      <c r="D231" s="824"/>
      <c r="E231" s="824"/>
      <c r="F231" s="824"/>
      <c r="G231" s="824"/>
      <c r="H231" s="824"/>
      <c r="I231" s="824"/>
      <c r="J231" s="824"/>
    </row>
    <row r="232" spans="1:10">
      <c r="B232" s="824" t="s">
        <v>55</v>
      </c>
      <c r="C232" s="824"/>
      <c r="D232" s="824"/>
      <c r="E232" s="824"/>
      <c r="F232" s="824"/>
      <c r="G232" s="824"/>
      <c r="H232" s="824"/>
      <c r="I232" s="824"/>
      <c r="J232" s="824"/>
    </row>
    <row r="233" spans="1:10">
      <c r="B233" s="824" t="s">
        <v>914</v>
      </c>
      <c r="C233" s="824"/>
      <c r="D233" s="824"/>
      <c r="E233" s="824"/>
      <c r="F233" s="824"/>
      <c r="G233" s="824"/>
      <c r="H233" s="824"/>
      <c r="I233" s="824"/>
      <c r="J233" s="824"/>
    </row>
    <row r="234" spans="1:10">
      <c r="B234" s="77"/>
      <c r="C234" s="78"/>
      <c r="D234" s="78"/>
      <c r="E234" s="77"/>
      <c r="F234" s="77"/>
      <c r="G234" s="79"/>
      <c r="H234" s="79"/>
      <c r="I234" s="80"/>
      <c r="J234" s="80"/>
    </row>
    <row r="235" spans="1:10">
      <c r="B235" s="78">
        <v>1</v>
      </c>
      <c r="C235" s="688" t="s">
        <v>172</v>
      </c>
      <c r="D235" s="688"/>
      <c r="E235" s="688" t="s">
        <v>664</v>
      </c>
      <c r="F235" s="688"/>
      <c r="G235" s="81"/>
      <c r="H235" s="81"/>
      <c r="I235" s="82"/>
      <c r="J235" s="82"/>
    </row>
    <row r="236" spans="1:10">
      <c r="B236" s="78">
        <v>2</v>
      </c>
      <c r="C236" s="688" t="s">
        <v>173</v>
      </c>
      <c r="D236" s="688"/>
      <c r="E236" s="825" t="s">
        <v>988</v>
      </c>
      <c r="F236" s="825"/>
      <c r="G236" s="825"/>
      <c r="H236" s="825"/>
      <c r="I236" s="825"/>
      <c r="J236" s="82"/>
    </row>
    <row r="237" spans="1:10">
      <c r="B237" s="78">
        <v>3</v>
      </c>
      <c r="C237" s="688" t="s">
        <v>174</v>
      </c>
      <c r="D237" s="688"/>
      <c r="E237" s="688" t="s">
        <v>936</v>
      </c>
      <c r="F237" s="688"/>
      <c r="G237" s="81"/>
      <c r="H237" s="81"/>
      <c r="I237" s="82"/>
      <c r="J237" s="82"/>
    </row>
    <row r="238" spans="1:10">
      <c r="B238" s="78">
        <v>4</v>
      </c>
      <c r="C238" s="688" t="s">
        <v>183</v>
      </c>
      <c r="D238" s="688"/>
      <c r="E238" s="688" t="s">
        <v>213</v>
      </c>
      <c r="F238" s="250"/>
      <c r="G238" s="81"/>
      <c r="H238" s="81"/>
      <c r="I238" s="82"/>
      <c r="J238" s="82"/>
    </row>
    <row r="239" spans="1:10">
      <c r="B239" s="78">
        <v>5</v>
      </c>
      <c r="C239" s="688" t="s">
        <v>184</v>
      </c>
      <c r="D239" s="688"/>
      <c r="E239" s="688" t="s">
        <v>236</v>
      </c>
      <c r="F239" s="826">
        <f>F240</f>
        <v>21724000</v>
      </c>
      <c r="G239" s="826"/>
      <c r="H239" s="81"/>
      <c r="I239" s="82"/>
      <c r="J239" s="82"/>
    </row>
    <row r="240" spans="1:10">
      <c r="B240" s="78">
        <v>6</v>
      </c>
      <c r="C240" s="688" t="s">
        <v>234</v>
      </c>
      <c r="D240" s="688"/>
      <c r="E240" s="688" t="s">
        <v>236</v>
      </c>
      <c r="F240" s="826">
        <f>J246</f>
        <v>21724000</v>
      </c>
      <c r="G240" s="826"/>
      <c r="H240" s="81"/>
      <c r="I240" s="82"/>
      <c r="J240" s="82"/>
    </row>
    <row r="241" spans="2:10">
      <c r="B241" s="78">
        <v>7</v>
      </c>
      <c r="C241" s="688" t="s">
        <v>194</v>
      </c>
      <c r="D241" s="688"/>
      <c r="E241" s="688"/>
      <c r="F241" s="688"/>
      <c r="G241" s="194"/>
      <c r="H241" s="81"/>
      <c r="I241" s="82"/>
      <c r="J241" s="82"/>
    </row>
    <row r="242" spans="2:10" ht="24">
      <c r="B242" s="77"/>
      <c r="C242" s="827" t="s">
        <v>56</v>
      </c>
      <c r="D242" s="828" t="s">
        <v>0</v>
      </c>
      <c r="E242" s="829"/>
      <c r="F242" s="830"/>
      <c r="G242" s="829" t="s">
        <v>57</v>
      </c>
      <c r="H242" s="829"/>
      <c r="I242" s="83" t="s">
        <v>58</v>
      </c>
      <c r="J242" s="83" t="s">
        <v>59</v>
      </c>
    </row>
    <row r="243" spans="2:10">
      <c r="B243" s="77"/>
      <c r="C243" s="827"/>
      <c r="D243" s="831"/>
      <c r="E243" s="832"/>
      <c r="F243" s="833"/>
      <c r="G243" s="832"/>
      <c r="H243" s="832"/>
      <c r="I243" s="84" t="s">
        <v>52</v>
      </c>
      <c r="J243" s="84" t="s">
        <v>247</v>
      </c>
    </row>
    <row r="244" spans="2:10">
      <c r="B244" s="77"/>
      <c r="C244" s="685">
        <v>1</v>
      </c>
      <c r="D244" s="814">
        <v>2</v>
      </c>
      <c r="E244" s="815"/>
      <c r="F244" s="816"/>
      <c r="G244" s="815">
        <v>3</v>
      </c>
      <c r="H244" s="815"/>
      <c r="I244" s="85">
        <v>4</v>
      </c>
      <c r="J244" s="85">
        <v>4</v>
      </c>
    </row>
    <row r="245" spans="2:10" ht="27.75" customHeight="1">
      <c r="B245" s="77"/>
      <c r="C245" s="86" t="s">
        <v>989</v>
      </c>
      <c r="D245" s="817" t="s">
        <v>987</v>
      </c>
      <c r="E245" s="818"/>
      <c r="F245" s="819"/>
      <c r="G245" s="527"/>
      <c r="H245" s="527"/>
      <c r="I245" s="268"/>
      <c r="J245" s="268"/>
    </row>
    <row r="246" spans="2:10">
      <c r="B246" s="77"/>
      <c r="C246" s="429" t="s">
        <v>6</v>
      </c>
      <c r="D246" s="820" t="s">
        <v>867</v>
      </c>
      <c r="E246" s="820"/>
      <c r="F246" s="820"/>
      <c r="G246" s="821"/>
      <c r="H246" s="821"/>
      <c r="I246" s="87"/>
      <c r="J246" s="264">
        <f>J247+J258</f>
        <v>21724000</v>
      </c>
    </row>
    <row r="247" spans="2:10">
      <c r="B247" s="77"/>
      <c r="C247" s="88">
        <v>2</v>
      </c>
      <c r="D247" s="820" t="s">
        <v>34</v>
      </c>
      <c r="E247" s="820"/>
      <c r="F247" s="820"/>
      <c r="G247" s="687" t="s">
        <v>630</v>
      </c>
      <c r="H247" s="687" t="s">
        <v>631</v>
      </c>
      <c r="I247" s="89"/>
      <c r="J247" s="99">
        <f>SUM(J248:J257)</f>
        <v>8236000</v>
      </c>
    </row>
    <row r="248" spans="2:10">
      <c r="B248" s="77"/>
      <c r="C248" s="91"/>
      <c r="D248" s="822" t="s">
        <v>214</v>
      </c>
      <c r="E248" s="822"/>
      <c r="F248" s="822"/>
      <c r="G248" s="687">
        <v>1</v>
      </c>
      <c r="H248" s="197" t="s">
        <v>233</v>
      </c>
      <c r="I248" s="92">
        <v>500000</v>
      </c>
      <c r="J248" s="92">
        <f>G248*I248</f>
        <v>500000</v>
      </c>
    </row>
    <row r="249" spans="2:10">
      <c r="B249" s="77"/>
      <c r="C249" s="91"/>
      <c r="D249" s="823" t="s">
        <v>41</v>
      </c>
      <c r="E249" s="823"/>
      <c r="F249" s="823"/>
      <c r="G249" s="687"/>
      <c r="H249" s="197"/>
      <c r="I249" s="92">
        <v>1516000</v>
      </c>
      <c r="J249" s="92"/>
    </row>
    <row r="250" spans="2:10">
      <c r="B250" s="77"/>
      <c r="C250" s="91"/>
      <c r="D250" s="835" t="s">
        <v>207</v>
      </c>
      <c r="E250" s="835"/>
      <c r="F250" s="835"/>
      <c r="G250" s="687">
        <v>1</v>
      </c>
      <c r="H250" s="687" t="s">
        <v>64</v>
      </c>
      <c r="I250" s="92">
        <f>I249*25%</f>
        <v>379000</v>
      </c>
      <c r="J250" s="92">
        <f>G250*I250</f>
        <v>379000</v>
      </c>
    </row>
    <row r="251" spans="2:10">
      <c r="B251" s="77"/>
      <c r="C251" s="91"/>
      <c r="D251" s="835" t="s">
        <v>695</v>
      </c>
      <c r="E251" s="835"/>
      <c r="F251" s="835"/>
      <c r="G251" s="687">
        <v>1</v>
      </c>
      <c r="H251" s="687" t="s">
        <v>64</v>
      </c>
      <c r="I251" s="92">
        <f>I249*15%</f>
        <v>227400</v>
      </c>
      <c r="J251" s="92">
        <f t="shared" ref="J251:J257" si="7">G251*I251</f>
        <v>227400</v>
      </c>
    </row>
    <row r="252" spans="2:10">
      <c r="B252" s="77"/>
      <c r="C252" s="91"/>
      <c r="D252" s="835" t="s">
        <v>70</v>
      </c>
      <c r="E252" s="835"/>
      <c r="F252" s="835"/>
      <c r="G252" s="687">
        <v>6</v>
      </c>
      <c r="H252" s="687" t="s">
        <v>64</v>
      </c>
      <c r="I252" s="92">
        <f>I249*60%/G252</f>
        <v>151600</v>
      </c>
      <c r="J252" s="92">
        <f t="shared" si="7"/>
        <v>909600</v>
      </c>
    </row>
    <row r="253" spans="2:10">
      <c r="B253" s="77"/>
      <c r="C253" s="91"/>
      <c r="D253" s="836" t="s">
        <v>215</v>
      </c>
      <c r="E253" s="836"/>
      <c r="F253" s="836"/>
      <c r="G253" s="687">
        <v>1</v>
      </c>
      <c r="H253" s="687" t="s">
        <v>217</v>
      </c>
      <c r="I253" s="92">
        <v>150000</v>
      </c>
      <c r="J253" s="92">
        <f t="shared" si="7"/>
        <v>150000</v>
      </c>
    </row>
    <row r="254" spans="2:10">
      <c r="B254" s="77"/>
      <c r="C254" s="91"/>
      <c r="D254" s="836" t="s">
        <v>216</v>
      </c>
      <c r="E254" s="836"/>
      <c r="F254" s="836"/>
      <c r="G254" s="687">
        <v>1</v>
      </c>
      <c r="H254" s="687" t="s">
        <v>217</v>
      </c>
      <c r="I254" s="92">
        <v>50000</v>
      </c>
      <c r="J254" s="92">
        <f t="shared" si="7"/>
        <v>50000</v>
      </c>
    </row>
    <row r="255" spans="2:10">
      <c r="B255" s="77"/>
      <c r="C255" s="91"/>
      <c r="D255" s="837" t="s">
        <v>628</v>
      </c>
      <c r="E255" s="838"/>
      <c r="F255" s="839"/>
      <c r="G255" s="687">
        <v>22</v>
      </c>
      <c r="H255" s="687" t="s">
        <v>644</v>
      </c>
      <c r="I255" s="92">
        <v>60000</v>
      </c>
      <c r="J255" s="92">
        <f t="shared" si="7"/>
        <v>1320000</v>
      </c>
    </row>
    <row r="256" spans="2:10">
      <c r="B256" s="77"/>
      <c r="C256" s="94"/>
      <c r="D256" s="836" t="s">
        <v>642</v>
      </c>
      <c r="E256" s="836"/>
      <c r="F256" s="836"/>
      <c r="G256" s="687">
        <v>50</v>
      </c>
      <c r="H256" s="687" t="s">
        <v>644</v>
      </c>
      <c r="I256" s="95">
        <v>70000</v>
      </c>
      <c r="J256" s="92">
        <f t="shared" si="7"/>
        <v>3500000</v>
      </c>
    </row>
    <row r="257" spans="2:10">
      <c r="B257" s="77"/>
      <c r="C257" s="94"/>
      <c r="D257" s="837" t="s">
        <v>885</v>
      </c>
      <c r="E257" s="838"/>
      <c r="F257" s="839"/>
      <c r="G257" s="687">
        <v>30</v>
      </c>
      <c r="H257" s="687" t="s">
        <v>886</v>
      </c>
      <c r="I257" s="95">
        <v>40000</v>
      </c>
      <c r="J257" s="89">
        <f t="shared" si="7"/>
        <v>1200000</v>
      </c>
    </row>
    <row r="258" spans="2:10">
      <c r="B258" s="77"/>
      <c r="C258" s="96">
        <v>3</v>
      </c>
      <c r="D258" s="813" t="s">
        <v>32</v>
      </c>
      <c r="E258" s="813"/>
      <c r="F258" s="813"/>
      <c r="G258" s="686"/>
      <c r="H258" s="686"/>
      <c r="I258" s="97"/>
      <c r="J258" s="98">
        <f>SUM(J259:J264)</f>
        <v>13488000</v>
      </c>
    </row>
    <row r="259" spans="2:10">
      <c r="B259" s="77"/>
      <c r="C259" s="94"/>
      <c r="D259" s="834" t="s">
        <v>883</v>
      </c>
      <c r="E259" s="835"/>
      <c r="F259" s="835"/>
      <c r="G259" s="687">
        <v>1</v>
      </c>
      <c r="H259" s="687" t="s">
        <v>699</v>
      </c>
      <c r="I259" s="97">
        <v>82000</v>
      </c>
      <c r="J259" s="97">
        <f>G259*I259</f>
        <v>82000</v>
      </c>
    </row>
    <row r="260" spans="2:10">
      <c r="B260" s="77"/>
      <c r="C260" s="94"/>
      <c r="D260" s="834" t="s">
        <v>882</v>
      </c>
      <c r="E260" s="835"/>
      <c r="F260" s="835"/>
      <c r="G260" s="94">
        <v>6</v>
      </c>
      <c r="H260" s="94" t="s">
        <v>250</v>
      </c>
      <c r="I260" s="97">
        <v>42000</v>
      </c>
      <c r="J260" s="97">
        <f t="shared" ref="J260:J264" si="8">G260*I260</f>
        <v>252000</v>
      </c>
    </row>
    <row r="261" spans="2:10">
      <c r="B261" s="77"/>
      <c r="C261" s="94"/>
      <c r="D261" s="834" t="s">
        <v>887</v>
      </c>
      <c r="E261" s="835"/>
      <c r="F261" s="835"/>
      <c r="G261" s="687">
        <v>75</v>
      </c>
      <c r="H261" s="687" t="s">
        <v>250</v>
      </c>
      <c r="I261" s="97">
        <v>160000</v>
      </c>
      <c r="J261" s="97">
        <f t="shared" si="8"/>
        <v>12000000</v>
      </c>
    </row>
    <row r="262" spans="2:10">
      <c r="B262" s="77"/>
      <c r="C262" s="94"/>
      <c r="D262" s="834" t="s">
        <v>884</v>
      </c>
      <c r="E262" s="835"/>
      <c r="F262" s="835"/>
      <c r="G262" s="687">
        <v>25</v>
      </c>
      <c r="H262" s="687" t="s">
        <v>250</v>
      </c>
      <c r="I262" s="97">
        <v>42000</v>
      </c>
      <c r="J262" s="97">
        <f t="shared" si="8"/>
        <v>1050000</v>
      </c>
    </row>
    <row r="263" spans="2:10">
      <c r="B263" s="77"/>
      <c r="C263" s="94"/>
      <c r="D263" s="834" t="s">
        <v>758</v>
      </c>
      <c r="E263" s="835"/>
      <c r="F263" s="835"/>
      <c r="G263" s="687">
        <v>1</v>
      </c>
      <c r="H263" s="687" t="s">
        <v>242</v>
      </c>
      <c r="I263" s="97">
        <v>75000</v>
      </c>
      <c r="J263" s="97">
        <f t="shared" si="8"/>
        <v>75000</v>
      </c>
    </row>
    <row r="264" spans="2:10">
      <c r="B264" s="77"/>
      <c r="C264" s="105"/>
      <c r="D264" s="834" t="s">
        <v>920</v>
      </c>
      <c r="E264" s="835"/>
      <c r="F264" s="835"/>
      <c r="G264" s="94">
        <v>2</v>
      </c>
      <c r="H264" s="94" t="s">
        <v>217</v>
      </c>
      <c r="I264" s="100">
        <v>14500</v>
      </c>
      <c r="J264" s="97">
        <f t="shared" si="8"/>
        <v>29000</v>
      </c>
    </row>
    <row r="265" spans="2:10">
      <c r="B265" s="77"/>
      <c r="C265" s="101"/>
      <c r="D265" s="811" t="s">
        <v>221</v>
      </c>
      <c r="E265" s="811"/>
      <c r="F265" s="811"/>
      <c r="G265" s="812"/>
      <c r="H265" s="812"/>
      <c r="I265" s="102"/>
      <c r="J265" s="109">
        <f>SUM(J246)</f>
        <v>21724000</v>
      </c>
    </row>
    <row r="266" spans="2:10">
      <c r="B266" s="77"/>
      <c r="C266" s="684"/>
      <c r="D266" s="684"/>
      <c r="E266" s="77"/>
      <c r="F266" s="77"/>
      <c r="G266" s="79"/>
      <c r="H266" s="810" t="s">
        <v>982</v>
      </c>
      <c r="I266" s="810"/>
      <c r="J266" s="810"/>
    </row>
    <row r="267" spans="2:10">
      <c r="B267" s="77"/>
      <c r="C267" s="77"/>
      <c r="D267" s="77"/>
      <c r="E267" s="78" t="s">
        <v>76</v>
      </c>
      <c r="F267" s="78"/>
      <c r="G267" s="79"/>
      <c r="H267" s="810" t="s">
        <v>77</v>
      </c>
      <c r="I267" s="810"/>
      <c r="J267" s="810"/>
    </row>
    <row r="268" spans="2:10">
      <c r="B268" s="77"/>
      <c r="C268" s="77"/>
      <c r="D268" s="77"/>
      <c r="E268" s="78" t="s">
        <v>78</v>
      </c>
      <c r="F268" s="684"/>
      <c r="G268" s="79"/>
      <c r="H268" s="79"/>
      <c r="I268" s="104"/>
      <c r="J268" s="104"/>
    </row>
    <row r="269" spans="2:10">
      <c r="B269" s="77"/>
      <c r="C269" s="684"/>
      <c r="D269" s="684"/>
      <c r="E269" s="684"/>
      <c r="F269" s="684"/>
      <c r="G269" s="79"/>
      <c r="H269" s="79"/>
      <c r="I269" s="80"/>
      <c r="J269" s="80"/>
    </row>
    <row r="270" spans="2:10">
      <c r="B270" s="77"/>
      <c r="C270" s="684"/>
      <c r="D270" s="684"/>
      <c r="E270" s="684"/>
      <c r="F270" s="684"/>
      <c r="G270" s="79"/>
      <c r="H270" s="79"/>
      <c r="I270" s="80"/>
      <c r="J270" s="80"/>
    </row>
    <row r="271" spans="2:10">
      <c r="B271" s="77"/>
      <c r="C271" s="684"/>
      <c r="D271" s="684"/>
      <c r="E271" s="684"/>
      <c r="F271" s="684"/>
      <c r="G271" s="79"/>
      <c r="H271" s="79"/>
      <c r="I271" s="80"/>
      <c r="J271" s="80"/>
    </row>
    <row r="272" spans="2:10">
      <c r="B272" s="77"/>
      <c r="C272" s="684"/>
      <c r="D272" s="684"/>
      <c r="E272" s="78" t="s">
        <v>51</v>
      </c>
      <c r="F272" s="78"/>
      <c r="G272" s="79"/>
      <c r="H272" s="810" t="s">
        <v>224</v>
      </c>
      <c r="I272" s="810"/>
      <c r="J272" s="810"/>
    </row>
    <row r="276" spans="2:10">
      <c r="B276" s="824" t="s">
        <v>54</v>
      </c>
      <c r="C276" s="824"/>
      <c r="D276" s="824"/>
      <c r="E276" s="824"/>
      <c r="F276" s="824"/>
      <c r="G276" s="824"/>
      <c r="H276" s="824"/>
      <c r="I276" s="824"/>
      <c r="J276" s="824"/>
    </row>
    <row r="277" spans="2:10">
      <c r="B277" s="824" t="s">
        <v>55</v>
      </c>
      <c r="C277" s="824"/>
      <c r="D277" s="824"/>
      <c r="E277" s="824"/>
      <c r="F277" s="824"/>
      <c r="G277" s="824"/>
      <c r="H277" s="824"/>
      <c r="I277" s="824"/>
      <c r="J277" s="824"/>
    </row>
    <row r="278" spans="2:10">
      <c r="B278" s="824" t="s">
        <v>914</v>
      </c>
      <c r="C278" s="824"/>
      <c r="D278" s="824"/>
      <c r="E278" s="824"/>
      <c r="F278" s="824"/>
      <c r="G278" s="824"/>
      <c r="H278" s="824"/>
      <c r="I278" s="824"/>
      <c r="J278" s="824"/>
    </row>
    <row r="279" spans="2:10">
      <c r="B279" s="77"/>
      <c r="C279" s="78"/>
      <c r="D279" s="78"/>
      <c r="E279" s="77"/>
      <c r="F279" s="77"/>
      <c r="G279" s="79"/>
      <c r="H279" s="79"/>
      <c r="I279" s="80"/>
      <c r="J279" s="80"/>
    </row>
    <row r="280" spans="2:10">
      <c r="B280" s="78">
        <v>1</v>
      </c>
      <c r="C280" s="688" t="s">
        <v>172</v>
      </c>
      <c r="D280" s="688"/>
      <c r="E280" s="688" t="s">
        <v>664</v>
      </c>
      <c r="F280" s="688"/>
      <c r="G280" s="81"/>
      <c r="H280" s="81"/>
      <c r="I280" s="82"/>
      <c r="J280" s="82"/>
    </row>
    <row r="281" spans="2:10">
      <c r="B281" s="78">
        <v>2</v>
      </c>
      <c r="C281" s="688" t="s">
        <v>173</v>
      </c>
      <c r="D281" s="688"/>
      <c r="E281" s="825" t="s">
        <v>991</v>
      </c>
      <c r="F281" s="825"/>
      <c r="G281" s="825"/>
      <c r="H281" s="825"/>
      <c r="I281" s="825"/>
      <c r="J281" s="82"/>
    </row>
    <row r="282" spans="2:10">
      <c r="B282" s="78">
        <v>3</v>
      </c>
      <c r="C282" s="688" t="s">
        <v>174</v>
      </c>
      <c r="D282" s="688"/>
      <c r="E282" s="688" t="s">
        <v>992</v>
      </c>
      <c r="F282" s="688"/>
      <c r="G282" s="81"/>
      <c r="H282" s="81"/>
      <c r="I282" s="82"/>
      <c r="J282" s="82"/>
    </row>
    <row r="283" spans="2:10">
      <c r="B283" s="78">
        <v>4</v>
      </c>
      <c r="C283" s="688" t="s">
        <v>183</v>
      </c>
      <c r="D283" s="688"/>
      <c r="E283" s="688" t="s">
        <v>994</v>
      </c>
      <c r="F283" s="250"/>
      <c r="G283" s="81"/>
      <c r="H283" s="81"/>
      <c r="I283" s="82"/>
      <c r="J283" s="82"/>
    </row>
    <row r="284" spans="2:10">
      <c r="B284" s="78">
        <v>5</v>
      </c>
      <c r="C284" s="688" t="s">
        <v>184</v>
      </c>
      <c r="D284" s="688"/>
      <c r="E284" s="688" t="s">
        <v>236</v>
      </c>
      <c r="F284" s="826">
        <f>F285</f>
        <v>2354000</v>
      </c>
      <c r="G284" s="826"/>
      <c r="H284" s="81"/>
      <c r="I284" s="82"/>
      <c r="J284" s="82"/>
    </row>
    <row r="285" spans="2:10">
      <c r="B285" s="78">
        <v>6</v>
      </c>
      <c r="C285" s="688" t="s">
        <v>234</v>
      </c>
      <c r="D285" s="688"/>
      <c r="E285" s="688" t="s">
        <v>236</v>
      </c>
      <c r="F285" s="826">
        <f>J291</f>
        <v>2354000</v>
      </c>
      <c r="G285" s="826"/>
      <c r="H285" s="81"/>
      <c r="I285" s="82"/>
      <c r="J285" s="82"/>
    </row>
    <row r="286" spans="2:10">
      <c r="B286" s="78">
        <v>7</v>
      </c>
      <c r="C286" s="688" t="s">
        <v>194</v>
      </c>
      <c r="D286" s="688"/>
      <c r="E286" s="688"/>
      <c r="F286" s="688"/>
      <c r="G286" s="194"/>
      <c r="H286" s="81"/>
      <c r="I286" s="82"/>
      <c r="J286" s="82"/>
    </row>
    <row r="287" spans="2:10" ht="24">
      <c r="B287" s="77"/>
      <c r="C287" s="827" t="s">
        <v>56</v>
      </c>
      <c r="D287" s="828" t="s">
        <v>0</v>
      </c>
      <c r="E287" s="829"/>
      <c r="F287" s="830"/>
      <c r="G287" s="829" t="s">
        <v>57</v>
      </c>
      <c r="H287" s="829"/>
      <c r="I287" s="83" t="s">
        <v>58</v>
      </c>
      <c r="J287" s="83" t="s">
        <v>59</v>
      </c>
    </row>
    <row r="288" spans="2:10">
      <c r="B288" s="77"/>
      <c r="C288" s="827"/>
      <c r="D288" s="831"/>
      <c r="E288" s="832"/>
      <c r="F288" s="833"/>
      <c r="G288" s="832"/>
      <c r="H288" s="832"/>
      <c r="I288" s="84" t="s">
        <v>52</v>
      </c>
      <c r="J288" s="84" t="s">
        <v>247</v>
      </c>
    </row>
    <row r="289" spans="2:12">
      <c r="B289" s="77"/>
      <c r="C289" s="685">
        <v>1</v>
      </c>
      <c r="D289" s="814">
        <v>2</v>
      </c>
      <c r="E289" s="815"/>
      <c r="F289" s="816"/>
      <c r="G289" s="815">
        <v>3</v>
      </c>
      <c r="H289" s="815"/>
      <c r="I289" s="85">
        <v>4</v>
      </c>
      <c r="J289" s="85">
        <v>4</v>
      </c>
    </row>
    <row r="290" spans="2:12" ht="29.25" customHeight="1">
      <c r="B290" s="77"/>
      <c r="C290" s="86" t="s">
        <v>990</v>
      </c>
      <c r="D290" s="817" t="s">
        <v>993</v>
      </c>
      <c r="E290" s="818"/>
      <c r="F290" s="819"/>
      <c r="G290" s="527"/>
      <c r="H290" s="527"/>
      <c r="I290" s="268"/>
      <c r="J290" s="268"/>
    </row>
    <row r="291" spans="2:12" ht="30" customHeight="1">
      <c r="B291" s="77"/>
      <c r="C291" s="429" t="s">
        <v>6</v>
      </c>
      <c r="D291" s="820" t="s">
        <v>1013</v>
      </c>
      <c r="E291" s="820"/>
      <c r="F291" s="820"/>
      <c r="G291" s="821"/>
      <c r="H291" s="821"/>
      <c r="I291" s="87"/>
      <c r="J291" s="264">
        <f>J292+J295</f>
        <v>2354000</v>
      </c>
      <c r="L291" s="29">
        <v>2354000</v>
      </c>
    </row>
    <row r="292" spans="2:12">
      <c r="B292" s="77"/>
      <c r="C292" s="88">
        <v>2</v>
      </c>
      <c r="D292" s="820" t="s">
        <v>34</v>
      </c>
      <c r="E292" s="820"/>
      <c r="F292" s="820"/>
      <c r="G292" s="687" t="s">
        <v>630</v>
      </c>
      <c r="H292" s="687" t="s">
        <v>631</v>
      </c>
      <c r="I292" s="89"/>
      <c r="J292" s="99">
        <f>SUM(J293:J294)</f>
        <v>2354000</v>
      </c>
    </row>
    <row r="293" spans="2:12" ht="28.5" customHeight="1">
      <c r="B293" s="77"/>
      <c r="C293" s="91"/>
      <c r="D293" s="822" t="s">
        <v>1014</v>
      </c>
      <c r="E293" s="822"/>
      <c r="F293" s="822"/>
      <c r="G293" s="687">
        <v>1</v>
      </c>
      <c r="H293" s="792" t="s">
        <v>99</v>
      </c>
      <c r="I293" s="92">
        <v>2354000</v>
      </c>
      <c r="J293" s="92">
        <f>G293*I293</f>
        <v>2354000</v>
      </c>
    </row>
    <row r="294" spans="2:12">
      <c r="B294" s="77"/>
      <c r="C294" s="91"/>
      <c r="D294" s="823" t="s">
        <v>1015</v>
      </c>
      <c r="E294" s="823"/>
      <c r="F294" s="823"/>
      <c r="G294" s="687"/>
      <c r="H294" s="792" t="s">
        <v>99</v>
      </c>
      <c r="I294" s="92">
        <v>2354000</v>
      </c>
      <c r="J294" s="92">
        <f>G294*I294</f>
        <v>0</v>
      </c>
    </row>
    <row r="295" spans="2:12">
      <c r="B295" s="77"/>
      <c r="C295" s="96">
        <v>3</v>
      </c>
      <c r="D295" s="813" t="s">
        <v>32</v>
      </c>
      <c r="E295" s="813"/>
      <c r="F295" s="813"/>
      <c r="G295" s="686"/>
      <c r="H295" s="686"/>
      <c r="I295" s="97"/>
      <c r="J295" s="98">
        <v>0</v>
      </c>
    </row>
    <row r="296" spans="2:12">
      <c r="B296" s="77"/>
      <c r="C296" s="101"/>
      <c r="D296" s="811" t="s">
        <v>221</v>
      </c>
      <c r="E296" s="811"/>
      <c r="F296" s="811"/>
      <c r="G296" s="812"/>
      <c r="H296" s="812"/>
      <c r="I296" s="102"/>
      <c r="J296" s="109">
        <f>SUM(J291)</f>
        <v>2354000</v>
      </c>
    </row>
    <row r="297" spans="2:12">
      <c r="B297" s="77"/>
      <c r="C297" s="684"/>
      <c r="D297" s="684"/>
      <c r="E297" s="77"/>
      <c r="F297" s="77"/>
      <c r="G297" s="79"/>
      <c r="H297" s="810" t="s">
        <v>982</v>
      </c>
      <c r="I297" s="810"/>
      <c r="J297" s="810"/>
    </row>
    <row r="298" spans="2:12">
      <c r="B298" s="77"/>
      <c r="C298" s="77"/>
      <c r="D298" s="77"/>
      <c r="E298" s="78" t="s">
        <v>76</v>
      </c>
      <c r="F298" s="78"/>
      <c r="G298" s="79"/>
      <c r="H298" s="810" t="s">
        <v>77</v>
      </c>
      <c r="I298" s="810"/>
      <c r="J298" s="810"/>
    </row>
    <row r="299" spans="2:12">
      <c r="B299" s="77"/>
      <c r="C299" s="77"/>
      <c r="D299" s="77"/>
      <c r="E299" s="78" t="s">
        <v>78</v>
      </c>
      <c r="F299" s="684"/>
      <c r="G299" s="79"/>
      <c r="H299" s="79"/>
      <c r="I299" s="104"/>
      <c r="J299" s="104"/>
    </row>
    <row r="300" spans="2:12">
      <c r="B300" s="77"/>
      <c r="C300" s="684"/>
      <c r="D300" s="684"/>
      <c r="E300" s="684"/>
      <c r="F300" s="684"/>
      <c r="G300" s="79"/>
      <c r="H300" s="79"/>
      <c r="I300" s="80"/>
      <c r="J300" s="80"/>
    </row>
    <row r="301" spans="2:12">
      <c r="B301" s="77"/>
      <c r="C301" s="684"/>
      <c r="D301" s="684"/>
      <c r="E301" s="684"/>
      <c r="F301" s="684"/>
      <c r="G301" s="79"/>
      <c r="H301" s="79"/>
      <c r="I301" s="80"/>
      <c r="J301" s="80"/>
    </row>
    <row r="302" spans="2:12">
      <c r="B302" s="77"/>
      <c r="C302" s="684"/>
      <c r="D302" s="684"/>
      <c r="E302" s="684"/>
      <c r="F302" s="684"/>
      <c r="G302" s="79"/>
      <c r="H302" s="79"/>
      <c r="I302" s="80"/>
      <c r="J302" s="80"/>
    </row>
    <row r="303" spans="2:12">
      <c r="B303" s="77"/>
      <c r="C303" s="684"/>
      <c r="D303" s="684"/>
      <c r="E303" s="78" t="s">
        <v>51</v>
      </c>
      <c r="F303" s="78"/>
      <c r="G303" s="79"/>
      <c r="H303" s="810" t="s">
        <v>880</v>
      </c>
      <c r="I303" s="810"/>
      <c r="J303" s="810"/>
    </row>
  </sheetData>
  <mergeCells count="244">
    <mergeCell ref="A201:J201"/>
    <mergeCell ref="C123:E123"/>
    <mergeCell ref="C134:E134"/>
    <mergeCell ref="C135:E135"/>
    <mergeCell ref="A167:J167"/>
    <mergeCell ref="C152:E152"/>
    <mergeCell ref="A168:J168"/>
    <mergeCell ref="B177:B178"/>
    <mergeCell ref="C146:E146"/>
    <mergeCell ref="C149:E149"/>
    <mergeCell ref="C150:E150"/>
    <mergeCell ref="F177:H178"/>
    <mergeCell ref="C153:E153"/>
    <mergeCell ref="C147:E147"/>
    <mergeCell ref="C142:E142"/>
    <mergeCell ref="C138:E138"/>
    <mergeCell ref="C183:E183"/>
    <mergeCell ref="C185:E185"/>
    <mergeCell ref="C145:E145"/>
    <mergeCell ref="A202:J202"/>
    <mergeCell ref="G85:J85"/>
    <mergeCell ref="G80:J80"/>
    <mergeCell ref="F104:H104"/>
    <mergeCell ref="G155:J155"/>
    <mergeCell ref="G156:J156"/>
    <mergeCell ref="G161:J161"/>
    <mergeCell ref="A166:J166"/>
    <mergeCell ref="A91:J91"/>
    <mergeCell ref="A93:J93"/>
    <mergeCell ref="B102:B103"/>
    <mergeCell ref="F102:H103"/>
    <mergeCell ref="C109:E109"/>
    <mergeCell ref="C110:E110"/>
    <mergeCell ref="C111:E111"/>
    <mergeCell ref="C102:E102"/>
    <mergeCell ref="C116:E116"/>
    <mergeCell ref="C151:E151"/>
    <mergeCell ref="C136:E136"/>
    <mergeCell ref="C137:E137"/>
    <mergeCell ref="C114:E114"/>
    <mergeCell ref="C140:E140"/>
    <mergeCell ref="C141:E141"/>
    <mergeCell ref="A92:J92"/>
    <mergeCell ref="C45:E45"/>
    <mergeCell ref="C78:E78"/>
    <mergeCell ref="C68:E68"/>
    <mergeCell ref="C69:E69"/>
    <mergeCell ref="C70:E70"/>
    <mergeCell ref="C71:E71"/>
    <mergeCell ref="C72:E72"/>
    <mergeCell ref="C66:E66"/>
    <mergeCell ref="C67:E67"/>
    <mergeCell ref="C73:E73"/>
    <mergeCell ref="C52:E52"/>
    <mergeCell ref="C53:E53"/>
    <mergeCell ref="C56:E56"/>
    <mergeCell ref="C62:E62"/>
    <mergeCell ref="C74:E74"/>
    <mergeCell ref="C75:E75"/>
    <mergeCell ref="C76:E76"/>
    <mergeCell ref="C50:E50"/>
    <mergeCell ref="C59:E59"/>
    <mergeCell ref="C61:E61"/>
    <mergeCell ref="C77:E77"/>
    <mergeCell ref="C46:E46"/>
    <mergeCell ref="C64:E64"/>
    <mergeCell ref="C65:E65"/>
    <mergeCell ref="A1:J1"/>
    <mergeCell ref="A2:J2"/>
    <mergeCell ref="A3:J3"/>
    <mergeCell ref="B12:B13"/>
    <mergeCell ref="F14:H14"/>
    <mergeCell ref="F15:H15"/>
    <mergeCell ref="F16:H16"/>
    <mergeCell ref="G79:J79"/>
    <mergeCell ref="C30:E30"/>
    <mergeCell ref="C31:E31"/>
    <mergeCell ref="C32:E32"/>
    <mergeCell ref="C33:E33"/>
    <mergeCell ref="C34:E34"/>
    <mergeCell ref="C35:E35"/>
    <mergeCell ref="C36:E36"/>
    <mergeCell ref="C47:E47"/>
    <mergeCell ref="F12:H12"/>
    <mergeCell ref="C12:E12"/>
    <mergeCell ref="C13:E13"/>
    <mergeCell ref="C38:E38"/>
    <mergeCell ref="C39:E39"/>
    <mergeCell ref="C48:E48"/>
    <mergeCell ref="C57:E57"/>
    <mergeCell ref="C58:E58"/>
    <mergeCell ref="F211:H212"/>
    <mergeCell ref="C211:E211"/>
    <mergeCell ref="C212:E212"/>
    <mergeCell ref="C143:E143"/>
    <mergeCell ref="C144:E144"/>
    <mergeCell ref="C112:E112"/>
    <mergeCell ref="C128:E128"/>
    <mergeCell ref="C117:E117"/>
    <mergeCell ref="C154:E154"/>
    <mergeCell ref="C157:E157"/>
    <mergeCell ref="G189:J189"/>
    <mergeCell ref="C148:E148"/>
    <mergeCell ref="C118:E118"/>
    <mergeCell ref="C119:E119"/>
    <mergeCell ref="C120:E120"/>
    <mergeCell ref="C121:E121"/>
    <mergeCell ref="C122:E122"/>
    <mergeCell ref="C113:E113"/>
    <mergeCell ref="C133:E133"/>
    <mergeCell ref="C124:E124"/>
    <mergeCell ref="C125:E125"/>
    <mergeCell ref="C126:E126"/>
    <mergeCell ref="C127:E127"/>
    <mergeCell ref="F179:H179"/>
    <mergeCell ref="C14:E14"/>
    <mergeCell ref="C15:E15"/>
    <mergeCell ref="C16:E16"/>
    <mergeCell ref="C17:E17"/>
    <mergeCell ref="C18:E18"/>
    <mergeCell ref="C19:E19"/>
    <mergeCell ref="C21:E21"/>
    <mergeCell ref="C20:E20"/>
    <mergeCell ref="C37:E37"/>
    <mergeCell ref="C22:E22"/>
    <mergeCell ref="C23:E23"/>
    <mergeCell ref="C24:E24"/>
    <mergeCell ref="C25:E25"/>
    <mergeCell ref="C26:E26"/>
    <mergeCell ref="C27:E27"/>
    <mergeCell ref="C28:E28"/>
    <mergeCell ref="C29:E29"/>
    <mergeCell ref="C40:E40"/>
    <mergeCell ref="C41:E41"/>
    <mergeCell ref="C42:E42"/>
    <mergeCell ref="C139:E139"/>
    <mergeCell ref="C43:E43"/>
    <mergeCell ref="C44:E44"/>
    <mergeCell ref="F213:H213"/>
    <mergeCell ref="G222:J222"/>
    <mergeCell ref="G223:J223"/>
    <mergeCell ref="C178:E178"/>
    <mergeCell ref="C179:E179"/>
    <mergeCell ref="C180:E180"/>
    <mergeCell ref="C181:E181"/>
    <mergeCell ref="C49:E49"/>
    <mergeCell ref="C51:E51"/>
    <mergeCell ref="G194:J194"/>
    <mergeCell ref="A200:J200"/>
    <mergeCell ref="C186:E186"/>
    <mergeCell ref="C187:E187"/>
    <mergeCell ref="G188:J188"/>
    <mergeCell ref="C190:E190"/>
    <mergeCell ref="C217:E217"/>
    <mergeCell ref="C218:E218"/>
    <mergeCell ref="B211:B212"/>
    <mergeCell ref="C54:E54"/>
    <mergeCell ref="C55:E55"/>
    <mergeCell ref="C60:E60"/>
    <mergeCell ref="C63:E63"/>
    <mergeCell ref="C81:E81"/>
    <mergeCell ref="C184:E184"/>
    <mergeCell ref="C182:E182"/>
    <mergeCell ref="C177:E177"/>
    <mergeCell ref="C103:E103"/>
    <mergeCell ref="C104:E104"/>
    <mergeCell ref="C105:E105"/>
    <mergeCell ref="C106:E106"/>
    <mergeCell ref="C107:E107"/>
    <mergeCell ref="C108:E108"/>
    <mergeCell ref="C115:E115"/>
    <mergeCell ref="C129:E129"/>
    <mergeCell ref="C130:E130"/>
    <mergeCell ref="C131:E131"/>
    <mergeCell ref="C132:E132"/>
    <mergeCell ref="D260:F260"/>
    <mergeCell ref="D261:F261"/>
    <mergeCell ref="D251:F251"/>
    <mergeCell ref="D252:F252"/>
    <mergeCell ref="G228:J228"/>
    <mergeCell ref="C215:E215"/>
    <mergeCell ref="C213:E213"/>
    <mergeCell ref="C214:E214"/>
    <mergeCell ref="C219:E219"/>
    <mergeCell ref="C220:E220"/>
    <mergeCell ref="C221:E221"/>
    <mergeCell ref="C216:E216"/>
    <mergeCell ref="C224:E224"/>
    <mergeCell ref="B231:J231"/>
    <mergeCell ref="B232:J232"/>
    <mergeCell ref="B233:J233"/>
    <mergeCell ref="E236:I236"/>
    <mergeCell ref="C242:C243"/>
    <mergeCell ref="D242:F243"/>
    <mergeCell ref="G242:H243"/>
    <mergeCell ref="D244:F244"/>
    <mergeCell ref="G244:H244"/>
    <mergeCell ref="D262:F262"/>
    <mergeCell ref="D263:F263"/>
    <mergeCell ref="D264:F264"/>
    <mergeCell ref="D265:F265"/>
    <mergeCell ref="G265:H265"/>
    <mergeCell ref="H266:J266"/>
    <mergeCell ref="H267:J267"/>
    <mergeCell ref="H272:J272"/>
    <mergeCell ref="F239:G239"/>
    <mergeCell ref="F240:G240"/>
    <mergeCell ref="D245:F245"/>
    <mergeCell ref="D246:F246"/>
    <mergeCell ref="G246:H246"/>
    <mergeCell ref="D247:F247"/>
    <mergeCell ref="D248:F248"/>
    <mergeCell ref="D249:F249"/>
    <mergeCell ref="D250:F250"/>
    <mergeCell ref="D253:F253"/>
    <mergeCell ref="D254:F254"/>
    <mergeCell ref="D255:F255"/>
    <mergeCell ref="D256:F256"/>
    <mergeCell ref="D257:F257"/>
    <mergeCell ref="D258:F258"/>
    <mergeCell ref="D259:F259"/>
    <mergeCell ref="B276:J276"/>
    <mergeCell ref="B277:J277"/>
    <mergeCell ref="B278:J278"/>
    <mergeCell ref="E281:I281"/>
    <mergeCell ref="F284:G284"/>
    <mergeCell ref="F285:G285"/>
    <mergeCell ref="C287:C288"/>
    <mergeCell ref="D287:F288"/>
    <mergeCell ref="G287:H288"/>
    <mergeCell ref="H303:J303"/>
    <mergeCell ref="D296:F296"/>
    <mergeCell ref="G296:H296"/>
    <mergeCell ref="H297:J297"/>
    <mergeCell ref="H298:J298"/>
    <mergeCell ref="D295:F295"/>
    <mergeCell ref="D289:F289"/>
    <mergeCell ref="G289:H289"/>
    <mergeCell ref="D290:F290"/>
    <mergeCell ref="D291:F291"/>
    <mergeCell ref="G291:H291"/>
    <mergeCell ref="D292:F292"/>
    <mergeCell ref="D293:F293"/>
    <mergeCell ref="D294:F294"/>
  </mergeCells>
  <pageMargins left="0.7" right="0.45" top="1" bottom="1" header="0.3" footer="0.3"/>
  <pageSetup paperSize="256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70C0"/>
  </sheetPr>
  <dimension ref="B1:U944"/>
  <sheetViews>
    <sheetView topLeftCell="C1" workbookViewId="0">
      <selection activeCell="P14" sqref="P14"/>
    </sheetView>
  </sheetViews>
  <sheetFormatPr defaultRowHeight="18" customHeight="1"/>
  <cols>
    <col min="1" max="1" width="1.42578125" style="81" customWidth="1"/>
    <col min="2" max="2" width="2" style="81" customWidth="1"/>
    <col min="3" max="3" width="6" style="81" customWidth="1"/>
    <col min="4" max="4" width="14" style="81" customWidth="1"/>
    <col min="5" max="5" width="5.28515625" style="81" customWidth="1"/>
    <col min="6" max="6" width="19.28515625" style="81" customWidth="1"/>
    <col min="7" max="7" width="6.28515625" style="81" customWidth="1"/>
    <col min="8" max="8" width="5.85546875" style="81" customWidth="1"/>
    <col min="9" max="9" width="11.140625" style="82" customWidth="1"/>
    <col min="10" max="10" width="12.140625" style="82" customWidth="1"/>
    <col min="11" max="11" width="9.5703125" style="82" bestFit="1" customWidth="1"/>
    <col min="12" max="12" width="10" style="82" bestFit="1" customWidth="1"/>
    <col min="13" max="14" width="9.140625" style="82"/>
    <col min="15" max="15" width="13.42578125" style="81" customWidth="1"/>
    <col min="16" max="16384" width="9.140625" style="81"/>
  </cols>
  <sheetData>
    <row r="1" spans="2:16" ht="17.100000000000001" customHeight="1">
      <c r="B1" s="824" t="s">
        <v>54</v>
      </c>
      <c r="C1" s="824"/>
      <c r="D1" s="824"/>
      <c r="E1" s="824"/>
      <c r="F1" s="824"/>
      <c r="G1" s="824"/>
      <c r="H1" s="824"/>
      <c r="I1" s="824"/>
      <c r="J1" s="824"/>
    </row>
    <row r="2" spans="2:16" ht="17.100000000000001" customHeight="1">
      <c r="B2" s="824" t="s">
        <v>55</v>
      </c>
      <c r="C2" s="824"/>
      <c r="D2" s="824"/>
      <c r="E2" s="824"/>
      <c r="F2" s="824"/>
      <c r="G2" s="824"/>
      <c r="H2" s="824"/>
      <c r="I2" s="824"/>
      <c r="J2" s="824"/>
    </row>
    <row r="3" spans="2:16" ht="17.100000000000001" customHeight="1">
      <c r="B3" s="824" t="s">
        <v>914</v>
      </c>
      <c r="C3" s="824"/>
      <c r="D3" s="824"/>
      <c r="E3" s="824"/>
      <c r="F3" s="824"/>
      <c r="G3" s="824"/>
      <c r="H3" s="824"/>
      <c r="I3" s="824"/>
      <c r="J3" s="824"/>
    </row>
    <row r="4" spans="2:16" ht="6.75" customHeight="1">
      <c r="B4" s="547"/>
      <c r="C4" s="547"/>
      <c r="D4" s="547"/>
      <c r="E4" s="547"/>
      <c r="F4" s="547"/>
      <c r="G4" s="547"/>
      <c r="H4" s="547"/>
      <c r="I4" s="547"/>
      <c r="J4" s="547"/>
    </row>
    <row r="5" spans="2:16" ht="17.100000000000001" customHeight="1">
      <c r="B5" s="78">
        <v>1</v>
      </c>
      <c r="C5" s="249" t="s">
        <v>172</v>
      </c>
      <c r="D5" s="249"/>
      <c r="E5" s="249" t="s">
        <v>474</v>
      </c>
      <c r="F5" s="249"/>
      <c r="G5" s="31"/>
      <c r="H5" s="559"/>
      <c r="I5" s="547"/>
      <c r="J5" s="547"/>
      <c r="O5" s="81" t="s">
        <v>23</v>
      </c>
    </row>
    <row r="6" spans="2:16" ht="17.100000000000001" customHeight="1">
      <c r="B6" s="78">
        <v>2</v>
      </c>
      <c r="C6" s="249" t="s">
        <v>173</v>
      </c>
      <c r="D6" s="249"/>
      <c r="E6" s="620" t="s">
        <v>969</v>
      </c>
      <c r="F6" s="249"/>
      <c r="G6" s="31"/>
      <c r="H6" s="559"/>
      <c r="I6" s="547"/>
      <c r="J6" s="547"/>
    </row>
    <row r="7" spans="2:16" ht="17.100000000000001" customHeight="1">
      <c r="B7" s="78">
        <v>3</v>
      </c>
      <c r="C7" s="249" t="s">
        <v>174</v>
      </c>
      <c r="D7" s="249"/>
      <c r="E7" s="249" t="s">
        <v>909</v>
      </c>
      <c r="F7" s="249"/>
      <c r="G7" s="31"/>
      <c r="H7" s="559"/>
      <c r="I7" s="547"/>
      <c r="J7" s="547"/>
    </row>
    <row r="8" spans="2:16" ht="17.100000000000001" customHeight="1">
      <c r="B8" s="78">
        <v>4</v>
      </c>
      <c r="C8" s="249" t="s">
        <v>183</v>
      </c>
      <c r="D8" s="249"/>
      <c r="E8" s="249" t="s">
        <v>213</v>
      </c>
      <c r="F8" s="250"/>
      <c r="G8" s="31"/>
      <c r="H8" s="559"/>
      <c r="I8" s="547"/>
      <c r="J8" s="547"/>
    </row>
    <row r="9" spans="2:16" ht="17.100000000000001" customHeight="1">
      <c r="B9" s="78">
        <v>5</v>
      </c>
      <c r="C9" s="249" t="s">
        <v>184</v>
      </c>
      <c r="D9" s="249"/>
      <c r="E9" s="249" t="s">
        <v>236</v>
      </c>
      <c r="F9" s="251">
        <f>J15</f>
        <v>59077200</v>
      </c>
      <c r="G9" s="31"/>
      <c r="H9" s="559"/>
      <c r="I9" s="547"/>
      <c r="J9" s="547"/>
    </row>
    <row r="10" spans="2:16" ht="17.100000000000001" customHeight="1">
      <c r="B10" s="78">
        <v>6</v>
      </c>
      <c r="C10" s="249" t="s">
        <v>234</v>
      </c>
      <c r="D10" s="249"/>
      <c r="E10" s="249" t="s">
        <v>236</v>
      </c>
      <c r="F10" s="251">
        <f>J15</f>
        <v>59077200</v>
      </c>
      <c r="G10" s="31"/>
      <c r="H10" s="559"/>
      <c r="I10" s="80"/>
      <c r="J10" s="80"/>
      <c r="O10" s="1045" t="s">
        <v>1016</v>
      </c>
    </row>
    <row r="11" spans="2:16" ht="17.100000000000001" customHeight="1">
      <c r="B11" s="78">
        <v>7</v>
      </c>
      <c r="C11" s="249" t="s">
        <v>194</v>
      </c>
      <c r="D11" s="249"/>
      <c r="E11" s="249"/>
      <c r="F11" s="249"/>
      <c r="G11" s="31"/>
      <c r="H11" s="559"/>
      <c r="O11" s="82">
        <f>SUM(J115+J155+J256+J292+J319+J342+J362+J386+J408+J427+J449+J468+J487+J513+J539+J566+J590+J613+J634+J677+J728+I21+I78+RABPembinaanKemasY!G22+RABPembinaanKemasY!G64+RABPembinaanKemasY!G108+RABPembinaanKemasY!G153+RABPembinaanKemasY!G192+RABPembinaanKemasY!G238+RABPembinaanKemasY!G278+RABPemberdayaanMasy!G20+RABPemberdayaanMasy!G87+RABPemberdayaanMasy!G125+RABPemberdayaanMasy!G163+RABPemberdayaanMasy!G201+RABPemberdayaanMasy!G243+RABPemberdayaanMasy!G285+RABPemberdayaanMasy!G325+RABPemberdayaanMasy!G364+RABPemberdayaanMasy!G403+RABPemberdayaanMasy!G445+RABPemberdayaanMasy!G484+RABPemberdayaanMasy!G524+RABPemberdayaanMasy!G563+RABPemberdayaanMasy!G602+RABPemberdayaanMasy!G644+RABPemberdayaanMasy!G683+RABPemberdayaanMasy!G723+RABPemberdayaanMasy!G763)</f>
        <v>7885326.4285714282</v>
      </c>
      <c r="P11" s="81" t="s">
        <v>1017</v>
      </c>
    </row>
    <row r="12" spans="2:16" ht="24" customHeight="1">
      <c r="B12" s="77"/>
      <c r="C12" s="827" t="s">
        <v>56</v>
      </c>
      <c r="D12" s="828" t="s">
        <v>0</v>
      </c>
      <c r="E12" s="829"/>
      <c r="F12" s="830"/>
      <c r="G12" s="829" t="s">
        <v>57</v>
      </c>
      <c r="H12" s="829"/>
      <c r="I12" s="83" t="s">
        <v>58</v>
      </c>
      <c r="J12" s="83" t="s">
        <v>59</v>
      </c>
      <c r="O12" s="82">
        <f>750000*12</f>
        <v>9000000</v>
      </c>
      <c r="P12" s="81" t="s">
        <v>1018</v>
      </c>
    </row>
    <row r="13" spans="2:16" ht="18" customHeight="1">
      <c r="B13" s="77"/>
      <c r="C13" s="827"/>
      <c r="D13" s="831"/>
      <c r="E13" s="832"/>
      <c r="F13" s="833"/>
      <c r="G13" s="832"/>
      <c r="H13" s="832"/>
      <c r="I13" s="84" t="s">
        <v>52</v>
      </c>
      <c r="J13" s="84" t="s">
        <v>247</v>
      </c>
    </row>
    <row r="14" spans="2:16" ht="10.5" customHeight="1">
      <c r="B14" s="77"/>
      <c r="C14" s="550">
        <v>1</v>
      </c>
      <c r="D14" s="814">
        <v>2</v>
      </c>
      <c r="E14" s="815"/>
      <c r="F14" s="816"/>
      <c r="G14" s="815">
        <v>3</v>
      </c>
      <c r="H14" s="815"/>
      <c r="I14" s="85">
        <v>4</v>
      </c>
      <c r="J14" s="85">
        <v>4</v>
      </c>
    </row>
    <row r="15" spans="2:16" ht="27.75" customHeight="1">
      <c r="B15" s="77"/>
      <c r="C15" s="86" t="s">
        <v>410</v>
      </c>
      <c r="D15" s="820" t="s">
        <v>970</v>
      </c>
      <c r="E15" s="820"/>
      <c r="F15" s="820"/>
      <c r="G15" s="821"/>
      <c r="H15" s="821"/>
      <c r="I15" s="87"/>
      <c r="J15" s="264">
        <f>SUM(J16+J24)</f>
        <v>59077200</v>
      </c>
    </row>
    <row r="16" spans="2:16" ht="15.95" customHeight="1">
      <c r="B16" s="77"/>
      <c r="C16" s="88">
        <v>2</v>
      </c>
      <c r="D16" s="820" t="s">
        <v>34</v>
      </c>
      <c r="E16" s="820"/>
      <c r="F16" s="820"/>
      <c r="G16" s="542" t="s">
        <v>218</v>
      </c>
      <c r="H16" s="554" t="s">
        <v>219</v>
      </c>
      <c r="I16" s="89"/>
      <c r="J16" s="99">
        <f>SUM(J17:J23)</f>
        <v>4871500</v>
      </c>
    </row>
    <row r="17" spans="2:14" ht="15.95" customHeight="1">
      <c r="B17" s="77"/>
      <c r="C17" s="91"/>
      <c r="D17" s="822" t="s">
        <v>214</v>
      </c>
      <c r="E17" s="822"/>
      <c r="F17" s="822"/>
      <c r="G17" s="554">
        <v>1</v>
      </c>
      <c r="H17" s="554" t="s">
        <v>404</v>
      </c>
      <c r="I17" s="92">
        <v>500000</v>
      </c>
      <c r="J17" s="92">
        <f>SUM(G17*I17)</f>
        <v>500000</v>
      </c>
    </row>
    <row r="18" spans="2:14" ht="15.95" customHeight="1">
      <c r="B18" s="77"/>
      <c r="C18" s="91"/>
      <c r="D18" s="918" t="s">
        <v>955</v>
      </c>
      <c r="E18" s="823"/>
      <c r="F18" s="823"/>
      <c r="G18" s="197"/>
      <c r="H18" s="197"/>
      <c r="I18" s="92">
        <v>4121500</v>
      </c>
      <c r="J18" s="92"/>
      <c r="K18" s="82">
        <f>SUM(J15*7.5%)</f>
        <v>4430790</v>
      </c>
      <c r="M18" s="791">
        <v>3996000</v>
      </c>
      <c r="N18" s="82">
        <f>J15*7.5%</f>
        <v>4430790</v>
      </c>
    </row>
    <row r="19" spans="2:14" ht="15.95" customHeight="1">
      <c r="B19" s="77"/>
      <c r="C19" s="91"/>
      <c r="D19" s="834" t="s">
        <v>956</v>
      </c>
      <c r="E19" s="835"/>
      <c r="F19" s="835"/>
      <c r="G19" s="554">
        <v>1</v>
      </c>
      <c r="H19" s="554" t="s">
        <v>64</v>
      </c>
      <c r="I19" s="92">
        <f>I18*G19*25%</f>
        <v>1030375</v>
      </c>
      <c r="J19" s="92">
        <f t="shared" ref="J19:J23" si="0">G19*I19</f>
        <v>1030375</v>
      </c>
      <c r="M19" s="82">
        <v>3377228</v>
      </c>
    </row>
    <row r="20" spans="2:14" ht="15.95" customHeight="1">
      <c r="B20" s="77"/>
      <c r="C20" s="91"/>
      <c r="D20" s="834" t="s">
        <v>950</v>
      </c>
      <c r="E20" s="835"/>
      <c r="F20" s="835"/>
      <c r="G20" s="554">
        <v>1</v>
      </c>
      <c r="H20" s="554" t="s">
        <v>64</v>
      </c>
      <c r="I20" s="92">
        <f>I18*15%</f>
        <v>618225</v>
      </c>
      <c r="J20" s="92">
        <f t="shared" si="0"/>
        <v>618225</v>
      </c>
    </row>
    <row r="21" spans="2:14" ht="15.95" customHeight="1">
      <c r="B21" s="77"/>
      <c r="C21" s="91"/>
      <c r="D21" s="834" t="s">
        <v>954</v>
      </c>
      <c r="E21" s="835"/>
      <c r="F21" s="835"/>
      <c r="G21" s="554">
        <v>7</v>
      </c>
      <c r="H21" s="554" t="s">
        <v>64</v>
      </c>
      <c r="I21" s="92">
        <f>I18*60%/G21</f>
        <v>353271.42857142858</v>
      </c>
      <c r="J21" s="92">
        <f t="shared" si="0"/>
        <v>2472900</v>
      </c>
    </row>
    <row r="22" spans="2:14" ht="15.95" customHeight="1">
      <c r="B22" s="77"/>
      <c r="C22" s="91"/>
      <c r="D22" s="836" t="s">
        <v>215</v>
      </c>
      <c r="E22" s="836"/>
      <c r="F22" s="836"/>
      <c r="G22" s="554">
        <v>1</v>
      </c>
      <c r="H22" s="554" t="s">
        <v>403</v>
      </c>
      <c r="I22" s="92">
        <v>150000</v>
      </c>
      <c r="J22" s="92">
        <f t="shared" si="0"/>
        <v>150000</v>
      </c>
    </row>
    <row r="23" spans="2:14" ht="15.95" customHeight="1">
      <c r="B23" s="77"/>
      <c r="C23" s="91"/>
      <c r="D23" s="836" t="s">
        <v>216</v>
      </c>
      <c r="E23" s="836"/>
      <c r="F23" s="836"/>
      <c r="G23" s="554">
        <v>1</v>
      </c>
      <c r="H23" s="554" t="s">
        <v>217</v>
      </c>
      <c r="I23" s="97">
        <v>100000</v>
      </c>
      <c r="J23" s="92">
        <f t="shared" si="0"/>
        <v>100000</v>
      </c>
    </row>
    <row r="24" spans="2:14" ht="15.95" customHeight="1">
      <c r="B24" s="77"/>
      <c r="C24" s="96">
        <v>3</v>
      </c>
      <c r="D24" s="813" t="s">
        <v>32</v>
      </c>
      <c r="E24" s="813"/>
      <c r="F24" s="917"/>
      <c r="G24" s="181"/>
      <c r="H24" s="181"/>
      <c r="I24" s="106"/>
      <c r="J24" s="566">
        <f>SUM(J26:J47)</f>
        <v>54205700</v>
      </c>
    </row>
    <row r="25" spans="2:14" ht="15.95" customHeight="1">
      <c r="B25" s="77"/>
      <c r="C25" s="96"/>
      <c r="D25" s="914" t="s">
        <v>981</v>
      </c>
      <c r="E25" s="904"/>
      <c r="F25" s="904"/>
      <c r="G25" s="107"/>
      <c r="H25" s="107"/>
      <c r="I25" s="107"/>
      <c r="J25" s="639"/>
      <c r="M25" s="82">
        <f>SUM(J15*10%)</f>
        <v>5907720</v>
      </c>
    </row>
    <row r="26" spans="2:14" ht="15.95" customHeight="1">
      <c r="B26" s="77"/>
      <c r="C26" s="96"/>
      <c r="D26" s="836" t="s">
        <v>698</v>
      </c>
      <c r="E26" s="836"/>
      <c r="F26" s="836"/>
      <c r="G26" s="113">
        <v>100</v>
      </c>
      <c r="H26" s="113" t="s">
        <v>644</v>
      </c>
      <c r="I26" s="108">
        <v>60000</v>
      </c>
      <c r="J26" s="640">
        <f>SUM(G26*I26)</f>
        <v>6000000</v>
      </c>
      <c r="K26" s="82">
        <f>SUM(J26:J28)</f>
        <v>12250000</v>
      </c>
      <c r="L26" s="82">
        <f>SUM(J24-K26)</f>
        <v>41955700</v>
      </c>
      <c r="M26" s="82" t="e">
        <f>SUM(#REF!+#REF!+I18+I17+I22+I23)</f>
        <v>#REF!</v>
      </c>
    </row>
    <row r="27" spans="2:14" ht="15.95" customHeight="1">
      <c r="B27" s="77"/>
      <c r="C27" s="96"/>
      <c r="D27" s="837" t="s">
        <v>642</v>
      </c>
      <c r="E27" s="838"/>
      <c r="F27" s="839"/>
      <c r="G27" s="113">
        <v>55</v>
      </c>
      <c r="H27" s="113" t="s">
        <v>644</v>
      </c>
      <c r="I27" s="108">
        <v>70000</v>
      </c>
      <c r="J27" s="640">
        <f t="shared" ref="J27:J36" si="1">SUM(G27*I27)</f>
        <v>3850000</v>
      </c>
    </row>
    <row r="28" spans="2:14" ht="15.95" customHeight="1">
      <c r="B28" s="77"/>
      <c r="C28" s="96"/>
      <c r="D28" s="836" t="s">
        <v>766</v>
      </c>
      <c r="E28" s="836"/>
      <c r="F28" s="836"/>
      <c r="G28" s="113">
        <v>40</v>
      </c>
      <c r="H28" s="113" t="s">
        <v>644</v>
      </c>
      <c r="I28" s="108">
        <v>60000</v>
      </c>
      <c r="J28" s="640">
        <f t="shared" si="1"/>
        <v>2400000</v>
      </c>
    </row>
    <row r="29" spans="2:14" ht="15.95" customHeight="1">
      <c r="B29" s="77"/>
      <c r="C29" s="96"/>
      <c r="D29" s="902" t="s">
        <v>717</v>
      </c>
      <c r="E29" s="900"/>
      <c r="F29" s="901"/>
      <c r="G29" s="786">
        <v>2</v>
      </c>
      <c r="H29" s="786" t="s">
        <v>217</v>
      </c>
      <c r="I29" s="92">
        <v>75000</v>
      </c>
      <c r="J29" s="640">
        <f t="shared" si="1"/>
        <v>150000</v>
      </c>
    </row>
    <row r="30" spans="2:14" ht="15.95" customHeight="1">
      <c r="B30" s="77"/>
      <c r="C30" s="96"/>
      <c r="D30" s="902" t="s">
        <v>718</v>
      </c>
      <c r="E30" s="900"/>
      <c r="F30" s="901"/>
      <c r="G30" s="786">
        <v>2</v>
      </c>
      <c r="H30" s="786" t="s">
        <v>721</v>
      </c>
      <c r="I30" s="92">
        <v>75000</v>
      </c>
      <c r="J30" s="640">
        <f t="shared" si="1"/>
        <v>150000</v>
      </c>
    </row>
    <row r="31" spans="2:14" ht="15.95" customHeight="1">
      <c r="B31" s="77"/>
      <c r="C31" s="96"/>
      <c r="D31" s="902" t="s">
        <v>852</v>
      </c>
      <c r="E31" s="915"/>
      <c r="F31" s="916"/>
      <c r="G31" s="790">
        <v>1</v>
      </c>
      <c r="H31" s="790" t="s">
        <v>102</v>
      </c>
      <c r="I31" s="92">
        <v>3000</v>
      </c>
      <c r="J31" s="640">
        <f t="shared" si="1"/>
        <v>3000</v>
      </c>
    </row>
    <row r="32" spans="2:14" ht="15.95" customHeight="1">
      <c r="B32" s="77"/>
      <c r="C32" s="96"/>
      <c r="D32" s="902" t="s">
        <v>719</v>
      </c>
      <c r="E32" s="900"/>
      <c r="F32" s="901"/>
      <c r="G32" s="786">
        <v>10</v>
      </c>
      <c r="H32" s="786" t="s">
        <v>217</v>
      </c>
      <c r="I32" s="92">
        <v>14500</v>
      </c>
      <c r="J32" s="640">
        <f t="shared" si="1"/>
        <v>145000</v>
      </c>
    </row>
    <row r="33" spans="2:13" ht="15.95" customHeight="1">
      <c r="B33" s="77"/>
      <c r="C33" s="96"/>
      <c r="D33" s="783" t="s">
        <v>767</v>
      </c>
      <c r="E33" s="784"/>
      <c r="F33" s="785"/>
      <c r="G33" s="786">
        <v>3</v>
      </c>
      <c r="H33" s="786" t="s">
        <v>217</v>
      </c>
      <c r="I33" s="92">
        <v>25000</v>
      </c>
      <c r="J33" s="640">
        <f t="shared" si="1"/>
        <v>75000</v>
      </c>
    </row>
    <row r="34" spans="2:13" ht="15.95" customHeight="1">
      <c r="B34" s="77"/>
      <c r="C34" s="96"/>
      <c r="D34" s="902" t="s">
        <v>720</v>
      </c>
      <c r="E34" s="900"/>
      <c r="F34" s="901"/>
      <c r="G34" s="786">
        <v>2</v>
      </c>
      <c r="H34" s="786" t="s">
        <v>217</v>
      </c>
      <c r="I34" s="92">
        <v>75000</v>
      </c>
      <c r="J34" s="640">
        <f t="shared" si="1"/>
        <v>150000</v>
      </c>
    </row>
    <row r="35" spans="2:13" ht="15.95" customHeight="1">
      <c r="B35" s="77"/>
      <c r="C35" s="96"/>
      <c r="D35" s="902" t="s">
        <v>716</v>
      </c>
      <c r="E35" s="915"/>
      <c r="F35" s="916"/>
      <c r="G35" s="786">
        <v>35</v>
      </c>
      <c r="H35" s="786" t="s">
        <v>722</v>
      </c>
      <c r="I35" s="92">
        <v>19000</v>
      </c>
      <c r="J35" s="640">
        <f t="shared" si="1"/>
        <v>665000</v>
      </c>
    </row>
    <row r="36" spans="2:13" ht="15.95" customHeight="1">
      <c r="B36" s="77"/>
      <c r="C36" s="96"/>
      <c r="D36" s="836" t="s">
        <v>715</v>
      </c>
      <c r="E36" s="836"/>
      <c r="F36" s="836"/>
      <c r="G36" s="252">
        <v>90</v>
      </c>
      <c r="H36" s="786" t="s">
        <v>699</v>
      </c>
      <c r="I36" s="97">
        <v>27600</v>
      </c>
      <c r="J36" s="640">
        <f t="shared" si="1"/>
        <v>2484000</v>
      </c>
    </row>
    <row r="37" spans="2:13" ht="15.95" customHeight="1">
      <c r="B37" s="77"/>
      <c r="C37" s="91"/>
      <c r="D37" s="903" t="s">
        <v>700</v>
      </c>
      <c r="E37" s="904"/>
      <c r="F37" s="904"/>
      <c r="G37" s="554">
        <v>11</v>
      </c>
      <c r="H37" s="554" t="s">
        <v>406</v>
      </c>
      <c r="I37" s="97">
        <v>220400</v>
      </c>
      <c r="J37" s="97">
        <f t="shared" ref="J37:J47" si="2">SUM(G37*I37)</f>
        <v>2424400</v>
      </c>
    </row>
    <row r="38" spans="2:13" ht="15.95" customHeight="1">
      <c r="B38" s="77"/>
      <c r="C38" s="94"/>
      <c r="D38" s="836" t="s">
        <v>701</v>
      </c>
      <c r="E38" s="836"/>
      <c r="F38" s="837"/>
      <c r="G38" s="554">
        <v>5</v>
      </c>
      <c r="H38" s="554" t="s">
        <v>406</v>
      </c>
      <c r="I38" s="97">
        <v>300000</v>
      </c>
      <c r="J38" s="97">
        <f t="shared" si="2"/>
        <v>1500000</v>
      </c>
    </row>
    <row r="39" spans="2:13" ht="15.95" customHeight="1">
      <c r="B39" s="77"/>
      <c r="C39" s="94"/>
      <c r="D39" s="837" t="s">
        <v>702</v>
      </c>
      <c r="E39" s="907"/>
      <c r="F39" s="908"/>
      <c r="G39" s="252">
        <v>52</v>
      </c>
      <c r="H39" s="554" t="s">
        <v>406</v>
      </c>
      <c r="I39" s="97">
        <v>220400</v>
      </c>
      <c r="J39" s="97">
        <f t="shared" si="2"/>
        <v>11460800</v>
      </c>
    </row>
    <row r="40" spans="2:13" ht="15.95" customHeight="1">
      <c r="B40" s="77"/>
      <c r="C40" s="94"/>
      <c r="D40" s="837" t="s">
        <v>703</v>
      </c>
      <c r="E40" s="907"/>
      <c r="F40" s="908"/>
      <c r="G40" s="554">
        <v>3738</v>
      </c>
      <c r="H40" s="554" t="s">
        <v>102</v>
      </c>
      <c r="I40" s="97">
        <v>800</v>
      </c>
      <c r="J40" s="97">
        <f t="shared" si="2"/>
        <v>2990400</v>
      </c>
    </row>
    <row r="41" spans="2:13" ht="15.95" customHeight="1">
      <c r="B41" s="77"/>
      <c r="C41" s="94"/>
      <c r="D41" s="837" t="s">
        <v>704</v>
      </c>
      <c r="E41" s="907"/>
      <c r="F41" s="908"/>
      <c r="G41" s="554">
        <v>119</v>
      </c>
      <c r="H41" s="554" t="s">
        <v>242</v>
      </c>
      <c r="I41" s="97">
        <v>75000</v>
      </c>
      <c r="J41" s="97">
        <f t="shared" si="2"/>
        <v>8925000</v>
      </c>
    </row>
    <row r="42" spans="2:13" ht="15.95" customHeight="1">
      <c r="B42" s="77"/>
      <c r="C42" s="94"/>
      <c r="D42" s="837" t="s">
        <v>705</v>
      </c>
      <c r="E42" s="907"/>
      <c r="F42" s="908"/>
      <c r="G42" s="554">
        <v>33</v>
      </c>
      <c r="H42" s="554" t="s">
        <v>485</v>
      </c>
      <c r="I42" s="97">
        <v>35100</v>
      </c>
      <c r="J42" s="97">
        <f t="shared" si="2"/>
        <v>1158300</v>
      </c>
    </row>
    <row r="43" spans="2:13" ht="15.95" customHeight="1">
      <c r="B43" s="77"/>
      <c r="C43" s="94"/>
      <c r="D43" s="837" t="s">
        <v>768</v>
      </c>
      <c r="E43" s="907"/>
      <c r="F43" s="908"/>
      <c r="G43" s="554">
        <v>70</v>
      </c>
      <c r="H43" s="554" t="s">
        <v>485</v>
      </c>
      <c r="I43" s="97">
        <v>51000</v>
      </c>
      <c r="J43" s="97">
        <f t="shared" si="2"/>
        <v>3570000</v>
      </c>
      <c r="L43" s="82">
        <f>6/0.1</f>
        <v>60</v>
      </c>
      <c r="M43" s="82">
        <f>L43/4</f>
        <v>15</v>
      </c>
    </row>
    <row r="44" spans="2:13" ht="15.95" customHeight="1">
      <c r="B44" s="77"/>
      <c r="C44" s="94"/>
      <c r="D44" s="837" t="s">
        <v>706</v>
      </c>
      <c r="E44" s="907"/>
      <c r="F44" s="908"/>
      <c r="G44" s="554">
        <v>30</v>
      </c>
      <c r="H44" s="554" t="s">
        <v>485</v>
      </c>
      <c r="I44" s="97">
        <v>143100</v>
      </c>
      <c r="J44" s="97">
        <f t="shared" si="2"/>
        <v>4293000</v>
      </c>
      <c r="L44" s="82">
        <f>3/0.1</f>
        <v>30</v>
      </c>
      <c r="M44" s="82">
        <f>L44/2</f>
        <v>15</v>
      </c>
    </row>
    <row r="45" spans="2:13" ht="15.95" customHeight="1">
      <c r="B45" s="77"/>
      <c r="C45" s="94"/>
      <c r="D45" s="837" t="s">
        <v>707</v>
      </c>
      <c r="E45" s="907"/>
      <c r="F45" s="908"/>
      <c r="G45" s="554">
        <v>11</v>
      </c>
      <c r="H45" s="554" t="s">
        <v>250</v>
      </c>
      <c r="I45" s="97">
        <v>22800</v>
      </c>
      <c r="J45" s="97">
        <f t="shared" si="2"/>
        <v>250800</v>
      </c>
    </row>
    <row r="46" spans="2:13" ht="15.95" customHeight="1">
      <c r="B46" s="77"/>
      <c r="C46" s="195"/>
      <c r="D46" s="909" t="s">
        <v>708</v>
      </c>
      <c r="E46" s="910"/>
      <c r="F46" s="910"/>
      <c r="G46" s="554">
        <v>5</v>
      </c>
      <c r="H46" s="200" t="s">
        <v>241</v>
      </c>
      <c r="I46" s="196">
        <v>280000</v>
      </c>
      <c r="J46" s="97">
        <f t="shared" si="2"/>
        <v>1400000</v>
      </c>
    </row>
    <row r="47" spans="2:13" ht="15.95" customHeight="1">
      <c r="B47" s="77"/>
      <c r="C47" s="195"/>
      <c r="D47" s="911" t="s">
        <v>711</v>
      </c>
      <c r="E47" s="912"/>
      <c r="F47" s="913"/>
      <c r="G47" s="554">
        <v>10</v>
      </c>
      <c r="H47" s="200" t="s">
        <v>250</v>
      </c>
      <c r="I47" s="196">
        <v>16100</v>
      </c>
      <c r="J47" s="97">
        <f t="shared" si="2"/>
        <v>161000</v>
      </c>
    </row>
    <row r="48" spans="2:13" ht="15.95" customHeight="1">
      <c r="C48" s="101"/>
      <c r="D48" s="811" t="s">
        <v>253</v>
      </c>
      <c r="E48" s="811"/>
      <c r="F48" s="811"/>
      <c r="G48" s="906"/>
      <c r="H48" s="906"/>
      <c r="I48" s="102"/>
      <c r="J48" s="109">
        <f>J15</f>
        <v>59077200</v>
      </c>
    </row>
    <row r="49" spans="2:10" ht="12.75" customHeight="1">
      <c r="C49" s="543"/>
      <c r="D49" s="543"/>
      <c r="E49" s="77"/>
      <c r="F49" s="77"/>
      <c r="G49" s="79"/>
      <c r="H49" s="810" t="s">
        <v>982</v>
      </c>
      <c r="I49" s="810"/>
      <c r="J49" s="810"/>
    </row>
    <row r="50" spans="2:10" ht="14.25" customHeight="1">
      <c r="C50" s="77"/>
      <c r="D50" s="77"/>
      <c r="E50" s="78" t="s">
        <v>76</v>
      </c>
      <c r="F50" s="78"/>
      <c r="G50" s="79"/>
      <c r="I50" s="78" t="s">
        <v>77</v>
      </c>
      <c r="J50" s="543"/>
    </row>
    <row r="51" spans="2:10" ht="12" customHeight="1">
      <c r="C51" s="77"/>
      <c r="D51" s="810" t="s">
        <v>78</v>
      </c>
      <c r="E51" s="810"/>
      <c r="F51" s="810"/>
      <c r="G51" s="79"/>
      <c r="H51" s="79"/>
      <c r="I51" s="104"/>
      <c r="J51" s="104"/>
    </row>
    <row r="52" spans="2:10" ht="15.95" customHeight="1">
      <c r="C52" s="543"/>
      <c r="D52" s="543"/>
      <c r="E52" s="543"/>
      <c r="F52" s="543"/>
      <c r="G52" s="79"/>
      <c r="H52" s="79"/>
      <c r="I52" s="80"/>
      <c r="J52" s="80"/>
    </row>
    <row r="53" spans="2:10" ht="15.95" customHeight="1">
      <c r="C53" s="543"/>
      <c r="D53" s="543"/>
      <c r="E53" s="543"/>
      <c r="F53" s="543"/>
      <c r="G53" s="79"/>
      <c r="H53" s="79"/>
      <c r="I53" s="80"/>
      <c r="J53" s="80"/>
    </row>
    <row r="54" spans="2:10" ht="15.95" customHeight="1">
      <c r="C54" s="543"/>
      <c r="D54" s="543"/>
      <c r="E54" s="543"/>
      <c r="F54" s="543"/>
      <c r="G54" s="79"/>
      <c r="H54" s="79"/>
      <c r="I54" s="80"/>
      <c r="J54" s="80"/>
    </row>
    <row r="55" spans="2:10" ht="18" customHeight="1">
      <c r="C55" s="543"/>
      <c r="D55" s="543"/>
      <c r="E55" s="78" t="s">
        <v>51</v>
      </c>
      <c r="F55" s="78"/>
      <c r="G55" s="79"/>
      <c r="I55" s="78" t="s">
        <v>428</v>
      </c>
      <c r="J55" s="543"/>
    </row>
    <row r="57" spans="2:10" ht="18" customHeight="1">
      <c r="B57" s="824" t="s">
        <v>54</v>
      </c>
      <c r="C57" s="824"/>
      <c r="D57" s="824"/>
      <c r="E57" s="824"/>
      <c r="F57" s="824"/>
      <c r="G57" s="824"/>
      <c r="H57" s="824"/>
      <c r="I57" s="824"/>
      <c r="J57" s="824"/>
    </row>
    <row r="58" spans="2:10" ht="18" customHeight="1">
      <c r="B58" s="824" t="s">
        <v>55</v>
      </c>
      <c r="C58" s="824"/>
      <c r="D58" s="824"/>
      <c r="E58" s="824"/>
      <c r="F58" s="824"/>
      <c r="G58" s="824"/>
      <c r="H58" s="824"/>
      <c r="I58" s="824"/>
      <c r="J58" s="824"/>
    </row>
    <row r="59" spans="2:10" ht="18" customHeight="1">
      <c r="B59" s="824" t="s">
        <v>914</v>
      </c>
      <c r="C59" s="824"/>
      <c r="D59" s="824"/>
      <c r="E59" s="824"/>
      <c r="F59" s="824"/>
      <c r="G59" s="824"/>
      <c r="H59" s="824"/>
      <c r="I59" s="824"/>
      <c r="J59" s="824"/>
    </row>
    <row r="60" spans="2:10" ht="6" customHeight="1">
      <c r="B60" s="77"/>
      <c r="C60" s="78"/>
      <c r="D60" s="78"/>
      <c r="E60" s="77"/>
      <c r="F60" s="77"/>
      <c r="G60" s="79"/>
      <c r="H60" s="79"/>
      <c r="I60" s="80"/>
      <c r="J60" s="80"/>
    </row>
    <row r="61" spans="2:10" ht="18" customHeight="1">
      <c r="B61" s="78">
        <v>1</v>
      </c>
      <c r="C61" s="249" t="s">
        <v>172</v>
      </c>
      <c r="D61" s="249"/>
      <c r="E61" s="249" t="s">
        <v>474</v>
      </c>
      <c r="F61" s="249"/>
      <c r="G61" s="31"/>
    </row>
    <row r="62" spans="2:10" ht="29.25" customHeight="1">
      <c r="B62" s="78">
        <v>2</v>
      </c>
      <c r="C62" s="249" t="s">
        <v>173</v>
      </c>
      <c r="D62" s="249"/>
      <c r="E62" s="825" t="s">
        <v>855</v>
      </c>
      <c r="F62" s="825"/>
      <c r="G62" s="825"/>
      <c r="H62" s="825"/>
      <c r="I62" s="825"/>
    </row>
    <row r="63" spans="2:10" ht="18" customHeight="1">
      <c r="B63" s="78">
        <v>3</v>
      </c>
      <c r="C63" s="249" t="s">
        <v>174</v>
      </c>
      <c r="D63" s="249"/>
      <c r="E63" s="249" t="s">
        <v>909</v>
      </c>
      <c r="F63" s="249"/>
      <c r="G63" s="31"/>
    </row>
    <row r="64" spans="2:10" ht="18" customHeight="1">
      <c r="B64" s="78">
        <v>4</v>
      </c>
      <c r="C64" s="249" t="s">
        <v>183</v>
      </c>
      <c r="D64" s="249"/>
      <c r="E64" s="249" t="s">
        <v>213</v>
      </c>
      <c r="F64" s="250"/>
      <c r="G64" s="31"/>
    </row>
    <row r="65" spans="2:12" ht="18" customHeight="1">
      <c r="B65" s="78">
        <v>5</v>
      </c>
      <c r="C65" s="249" t="s">
        <v>184</v>
      </c>
      <c r="D65" s="249"/>
      <c r="E65" s="249" t="s">
        <v>236</v>
      </c>
      <c r="F65" s="251">
        <f>F66</f>
        <v>28097000</v>
      </c>
      <c r="G65" s="31"/>
    </row>
    <row r="66" spans="2:12" ht="18" customHeight="1">
      <c r="B66" s="78">
        <v>6</v>
      </c>
      <c r="C66" s="249" t="s">
        <v>234</v>
      </c>
      <c r="D66" s="249"/>
      <c r="E66" s="249" t="s">
        <v>236</v>
      </c>
      <c r="F66" s="251">
        <f>J71</f>
        <v>28097000</v>
      </c>
      <c r="G66" s="31"/>
    </row>
    <row r="67" spans="2:12" ht="18" customHeight="1">
      <c r="B67" s="78">
        <v>7</v>
      </c>
      <c r="C67" s="249" t="s">
        <v>194</v>
      </c>
      <c r="D67" s="249"/>
      <c r="E67" s="249"/>
      <c r="F67" s="249"/>
      <c r="G67" s="31"/>
    </row>
    <row r="68" spans="2:12" ht="24.75" customHeight="1">
      <c r="B68" s="77"/>
      <c r="C68" s="827" t="s">
        <v>56</v>
      </c>
      <c r="D68" s="828" t="s">
        <v>0</v>
      </c>
      <c r="E68" s="829"/>
      <c r="F68" s="830"/>
      <c r="G68" s="829" t="s">
        <v>57</v>
      </c>
      <c r="H68" s="829"/>
      <c r="I68" s="83" t="s">
        <v>58</v>
      </c>
      <c r="J68" s="83" t="s">
        <v>59</v>
      </c>
    </row>
    <row r="69" spans="2:12" ht="18" customHeight="1">
      <c r="B69" s="77"/>
      <c r="C69" s="827"/>
      <c r="D69" s="831"/>
      <c r="E69" s="832"/>
      <c r="F69" s="833"/>
      <c r="G69" s="832"/>
      <c r="H69" s="832"/>
      <c r="I69" s="84" t="s">
        <v>52</v>
      </c>
      <c r="J69" s="84" t="s">
        <v>247</v>
      </c>
    </row>
    <row r="70" spans="2:12" ht="13.5" customHeight="1">
      <c r="B70" s="77"/>
      <c r="C70" s="295">
        <v>1</v>
      </c>
      <c r="D70" s="814">
        <v>2</v>
      </c>
      <c r="E70" s="815"/>
      <c r="F70" s="816"/>
      <c r="G70" s="815">
        <v>3</v>
      </c>
      <c r="H70" s="815"/>
      <c r="I70" s="85">
        <v>4</v>
      </c>
      <c r="J70" s="85">
        <v>4</v>
      </c>
    </row>
    <row r="71" spans="2:12" ht="33.75" customHeight="1">
      <c r="B71" s="77"/>
      <c r="C71" s="86" t="s">
        <v>856</v>
      </c>
      <c r="D71" s="939" t="s">
        <v>854</v>
      </c>
      <c r="E71" s="940"/>
      <c r="F71" s="941"/>
      <c r="G71" s="241"/>
      <c r="H71" s="241"/>
      <c r="I71" s="87"/>
      <c r="J71" s="264">
        <f>J72</f>
        <v>28097000</v>
      </c>
    </row>
    <row r="72" spans="2:12" ht="18.75" customHeight="1">
      <c r="B72" s="77"/>
      <c r="C72" s="514" t="s">
        <v>6</v>
      </c>
      <c r="D72" s="939" t="s">
        <v>857</v>
      </c>
      <c r="E72" s="940"/>
      <c r="F72" s="941"/>
      <c r="G72" s="933" t="s">
        <v>888</v>
      </c>
      <c r="H72" s="821"/>
      <c r="I72" s="87"/>
      <c r="J72" s="264">
        <f>SUM(J73+J84)</f>
        <v>28097000</v>
      </c>
    </row>
    <row r="73" spans="2:12" ht="20.25" customHeight="1">
      <c r="B73" s="77"/>
      <c r="C73" s="88">
        <v>2</v>
      </c>
      <c r="D73" s="939" t="s">
        <v>34</v>
      </c>
      <c r="E73" s="940"/>
      <c r="F73" s="941"/>
      <c r="G73" s="513" t="s">
        <v>630</v>
      </c>
      <c r="H73" s="513" t="s">
        <v>631</v>
      </c>
      <c r="I73" s="89"/>
      <c r="J73" s="99">
        <f>SUM(J74:J83)</f>
        <v>28097000</v>
      </c>
      <c r="K73" s="623"/>
    </row>
    <row r="74" spans="2:12" ht="18" customHeight="1">
      <c r="B74" s="77"/>
      <c r="C74" s="91"/>
      <c r="D74" s="822" t="s">
        <v>214</v>
      </c>
      <c r="E74" s="822"/>
      <c r="F74" s="822"/>
      <c r="G74" s="76">
        <v>1</v>
      </c>
      <c r="H74" s="76" t="s">
        <v>404</v>
      </c>
      <c r="I74" s="92">
        <v>1000000</v>
      </c>
      <c r="J74" s="92">
        <f>G74*I74</f>
        <v>1000000</v>
      </c>
    </row>
    <row r="75" spans="2:12" ht="18" customHeight="1">
      <c r="B75" s="77"/>
      <c r="C75" s="91"/>
      <c r="D75" s="823" t="s">
        <v>41</v>
      </c>
      <c r="E75" s="823"/>
      <c r="F75" s="823"/>
      <c r="G75" s="935">
        <v>1960000</v>
      </c>
      <c r="H75" s="936"/>
      <c r="I75" s="92"/>
      <c r="J75" s="92"/>
      <c r="K75" s="82">
        <f>J71*7.5%</f>
        <v>2107275</v>
      </c>
    </row>
    <row r="76" spans="2:12" ht="18" customHeight="1">
      <c r="B76" s="77"/>
      <c r="C76" s="91"/>
      <c r="D76" s="835" t="s">
        <v>207</v>
      </c>
      <c r="E76" s="835"/>
      <c r="F76" s="835"/>
      <c r="G76" s="76">
        <v>1</v>
      </c>
      <c r="H76" s="76" t="s">
        <v>64</v>
      </c>
      <c r="I76" s="92">
        <f>G75*25%</f>
        <v>490000</v>
      </c>
      <c r="J76" s="92">
        <f>SUM(G76*I76)</f>
        <v>490000</v>
      </c>
    </row>
    <row r="77" spans="2:12" ht="18" customHeight="1">
      <c r="B77" s="77"/>
      <c r="C77" s="91"/>
      <c r="D77" s="835" t="s">
        <v>695</v>
      </c>
      <c r="E77" s="835"/>
      <c r="F77" s="835"/>
      <c r="G77" s="76">
        <v>1</v>
      </c>
      <c r="H77" s="76" t="s">
        <v>64</v>
      </c>
      <c r="I77" s="92">
        <f>G75*15%</f>
        <v>294000</v>
      </c>
      <c r="J77" s="92">
        <f>SUM(G77*I77)</f>
        <v>294000</v>
      </c>
    </row>
    <row r="78" spans="2:12" ht="18" customHeight="1">
      <c r="B78" s="77"/>
      <c r="C78" s="91"/>
      <c r="D78" s="835" t="s">
        <v>70</v>
      </c>
      <c r="E78" s="835"/>
      <c r="F78" s="835"/>
      <c r="G78" s="76">
        <v>6</v>
      </c>
      <c r="H78" s="76" t="s">
        <v>64</v>
      </c>
      <c r="I78" s="92">
        <f>G75*60%/G78</f>
        <v>196000</v>
      </c>
      <c r="J78" s="92">
        <f>SUM(G78*I78)</f>
        <v>1176000</v>
      </c>
    </row>
    <row r="79" spans="2:12" ht="18" customHeight="1">
      <c r="B79" s="77"/>
      <c r="C79" s="91"/>
      <c r="D79" s="836" t="s">
        <v>889</v>
      </c>
      <c r="E79" s="836"/>
      <c r="F79" s="836"/>
      <c r="G79" s="76">
        <v>20</v>
      </c>
      <c r="H79" s="513" t="s">
        <v>64</v>
      </c>
      <c r="I79" s="92">
        <v>1200000</v>
      </c>
      <c r="J79" s="92">
        <f>G79*I79</f>
        <v>24000000</v>
      </c>
      <c r="L79" s="82">
        <f>150000*12</f>
        <v>1800000</v>
      </c>
    </row>
    <row r="80" spans="2:12" ht="18" customHeight="1">
      <c r="B80" s="77"/>
      <c r="C80" s="91"/>
      <c r="D80" s="836" t="s">
        <v>858</v>
      </c>
      <c r="E80" s="836"/>
      <c r="F80" s="836"/>
      <c r="G80" s="76"/>
      <c r="H80" s="76"/>
      <c r="I80" s="92"/>
      <c r="J80" s="92"/>
    </row>
    <row r="81" spans="2:12" ht="18" customHeight="1">
      <c r="B81" s="77"/>
      <c r="C81" s="91"/>
      <c r="D81" s="837" t="s">
        <v>863</v>
      </c>
      <c r="E81" s="838"/>
      <c r="F81" s="839"/>
      <c r="G81" s="441">
        <v>18</v>
      </c>
      <c r="H81" s="513" t="s">
        <v>639</v>
      </c>
      <c r="I81" s="92">
        <v>16000</v>
      </c>
      <c r="J81" s="92">
        <f>G81*I81</f>
        <v>288000</v>
      </c>
    </row>
    <row r="82" spans="2:12" ht="18" customHeight="1">
      <c r="B82" s="77"/>
      <c r="C82" s="91"/>
      <c r="D82" s="837" t="s">
        <v>861</v>
      </c>
      <c r="E82" s="838"/>
      <c r="F82" s="839"/>
      <c r="G82" s="441">
        <v>3</v>
      </c>
      <c r="H82" s="513" t="s">
        <v>862</v>
      </c>
      <c r="I82" s="92">
        <v>118000</v>
      </c>
      <c r="J82" s="92">
        <f>G82*I82</f>
        <v>354000</v>
      </c>
    </row>
    <row r="83" spans="2:12" ht="18" customHeight="1">
      <c r="B83" s="77"/>
      <c r="C83" s="94"/>
      <c r="D83" s="836" t="s">
        <v>860</v>
      </c>
      <c r="E83" s="836"/>
      <c r="F83" s="836"/>
      <c r="G83" s="76">
        <v>9</v>
      </c>
      <c r="H83" s="513" t="s">
        <v>859</v>
      </c>
      <c r="I83" s="95">
        <v>55000</v>
      </c>
      <c r="J83" s="92">
        <f>G83*I83</f>
        <v>495000</v>
      </c>
      <c r="L83" s="82">
        <f>22000000*30%</f>
        <v>6600000</v>
      </c>
    </row>
    <row r="84" spans="2:12" ht="18" customHeight="1">
      <c r="B84" s="77"/>
      <c r="C84" s="96">
        <v>3</v>
      </c>
      <c r="D84" s="813" t="s">
        <v>32</v>
      </c>
      <c r="E84" s="813"/>
      <c r="F84" s="813"/>
      <c r="G84" s="93"/>
      <c r="H84" s="93"/>
      <c r="I84" s="97"/>
      <c r="J84" s="90">
        <f>SUM(J85:J85)</f>
        <v>0</v>
      </c>
    </row>
    <row r="85" spans="2:12" ht="18" customHeight="1">
      <c r="B85" s="77"/>
      <c r="C85" s="94"/>
      <c r="D85" s="902"/>
      <c r="E85" s="915"/>
      <c r="F85" s="916"/>
      <c r="G85" s="76"/>
      <c r="H85" s="513"/>
      <c r="I85" s="97"/>
      <c r="J85" s="92"/>
    </row>
    <row r="86" spans="2:12" ht="18" customHeight="1">
      <c r="B86" s="77"/>
      <c r="C86" s="101"/>
      <c r="D86" s="811" t="s">
        <v>405</v>
      </c>
      <c r="E86" s="811"/>
      <c r="F86" s="811"/>
      <c r="G86" s="812"/>
      <c r="H86" s="812"/>
      <c r="I86" s="102"/>
      <c r="J86" s="109">
        <f>J72</f>
        <v>28097000</v>
      </c>
    </row>
    <row r="87" spans="2:12" ht="18" customHeight="1">
      <c r="B87" s="77"/>
      <c r="C87" s="103"/>
      <c r="D87" s="103"/>
      <c r="E87" s="77"/>
      <c r="F87" s="77"/>
      <c r="G87" s="79"/>
      <c r="H87" s="810" t="s">
        <v>982</v>
      </c>
      <c r="I87" s="810"/>
      <c r="J87" s="810"/>
    </row>
    <row r="88" spans="2:12" ht="18" customHeight="1">
      <c r="B88" s="77"/>
      <c r="C88" s="77"/>
      <c r="D88" s="77"/>
      <c r="E88" s="78" t="s">
        <v>76</v>
      </c>
      <c r="F88" s="78"/>
      <c r="G88" s="79"/>
      <c r="H88" s="810" t="s">
        <v>77</v>
      </c>
      <c r="I88" s="810"/>
      <c r="J88" s="810"/>
    </row>
    <row r="89" spans="2:12" ht="18" customHeight="1">
      <c r="B89" s="77"/>
      <c r="C89" s="77"/>
      <c r="D89" s="810" t="s">
        <v>78</v>
      </c>
      <c r="E89" s="810"/>
      <c r="F89" s="810"/>
      <c r="G89" s="79"/>
      <c r="H89" s="79"/>
      <c r="I89" s="104"/>
      <c r="J89" s="104"/>
    </row>
    <row r="90" spans="2:12" ht="18" customHeight="1">
      <c r="B90" s="77"/>
      <c r="C90" s="103"/>
      <c r="D90" s="103"/>
      <c r="E90" s="103"/>
      <c r="F90" s="103"/>
      <c r="G90" s="79"/>
      <c r="H90" s="79"/>
      <c r="I90" s="80"/>
      <c r="J90" s="80"/>
    </row>
    <row r="91" spans="2:12" ht="18" customHeight="1">
      <c r="B91" s="77"/>
      <c r="C91" s="103"/>
      <c r="D91" s="103"/>
      <c r="E91" s="103"/>
      <c r="F91" s="103"/>
      <c r="G91" s="79"/>
      <c r="H91" s="79"/>
      <c r="I91" s="80"/>
      <c r="J91" s="80"/>
    </row>
    <row r="92" spans="2:12" ht="18" customHeight="1">
      <c r="B92" s="77"/>
      <c r="C92" s="103"/>
      <c r="D92" s="103"/>
      <c r="E92" s="103"/>
      <c r="F92" s="103"/>
      <c r="G92" s="79"/>
      <c r="H92" s="79"/>
      <c r="I92" s="80"/>
      <c r="J92" s="80"/>
    </row>
    <row r="93" spans="2:12" ht="18" customHeight="1">
      <c r="B93" s="77"/>
      <c r="C93" s="103"/>
      <c r="D93" s="103"/>
      <c r="E93" s="78" t="s">
        <v>51</v>
      </c>
      <c r="F93" s="78"/>
      <c r="G93" s="79"/>
      <c r="H93" s="810" t="s">
        <v>428</v>
      </c>
      <c r="I93" s="810"/>
      <c r="J93" s="810"/>
    </row>
    <row r="94" spans="2:12" ht="15" customHeight="1">
      <c r="B94" s="77"/>
      <c r="C94" s="522"/>
      <c r="D94" s="522"/>
      <c r="E94" s="78"/>
      <c r="F94" s="78"/>
      <c r="G94" s="79"/>
      <c r="H94" s="522"/>
      <c r="I94" s="522"/>
      <c r="J94" s="522"/>
    </row>
    <row r="95" spans="2:12" ht="18" customHeight="1">
      <c r="B95" s="824" t="s">
        <v>54</v>
      </c>
      <c r="C95" s="824"/>
      <c r="D95" s="824"/>
      <c r="E95" s="824"/>
      <c r="F95" s="824"/>
      <c r="G95" s="824"/>
      <c r="H95" s="824"/>
      <c r="I95" s="824"/>
      <c r="J95" s="824"/>
    </row>
    <row r="96" spans="2:12" ht="18" customHeight="1">
      <c r="B96" s="824" t="s">
        <v>55</v>
      </c>
      <c r="C96" s="824"/>
      <c r="D96" s="824"/>
      <c r="E96" s="824"/>
      <c r="F96" s="824"/>
      <c r="G96" s="824"/>
      <c r="H96" s="824"/>
      <c r="I96" s="824"/>
      <c r="J96" s="824"/>
    </row>
    <row r="97" spans="2:13" ht="18" customHeight="1">
      <c r="B97" s="824" t="s">
        <v>914</v>
      </c>
      <c r="C97" s="824"/>
      <c r="D97" s="824"/>
      <c r="E97" s="824"/>
      <c r="F97" s="824"/>
      <c r="G97" s="824"/>
      <c r="H97" s="824"/>
      <c r="I97" s="824"/>
      <c r="J97" s="824"/>
    </row>
    <row r="98" spans="2:13" ht="18" customHeight="1">
      <c r="B98" s="77"/>
      <c r="C98" s="78"/>
      <c r="D98" s="78"/>
      <c r="E98" s="77"/>
      <c r="F98" s="77"/>
      <c r="G98" s="79"/>
      <c r="H98" s="79"/>
      <c r="I98" s="80"/>
      <c r="J98" s="80"/>
    </row>
    <row r="99" spans="2:13" ht="18" customHeight="1">
      <c r="B99" s="78">
        <v>1</v>
      </c>
      <c r="C99" s="249" t="s">
        <v>172</v>
      </c>
      <c r="D99" s="249"/>
      <c r="E99" s="249" t="s">
        <v>474</v>
      </c>
      <c r="F99" s="249"/>
    </row>
    <row r="100" spans="2:13" ht="18" customHeight="1">
      <c r="B100" s="78">
        <v>2</v>
      </c>
      <c r="C100" s="249" t="s">
        <v>173</v>
      </c>
      <c r="D100" s="249"/>
      <c r="E100" s="919" t="s">
        <v>570</v>
      </c>
      <c r="F100" s="919"/>
      <c r="G100" s="919"/>
      <c r="H100" s="919"/>
      <c r="I100" s="919"/>
    </row>
    <row r="101" spans="2:13" ht="18" customHeight="1">
      <c r="B101" s="78">
        <v>3</v>
      </c>
      <c r="C101" s="249" t="s">
        <v>174</v>
      </c>
      <c r="D101" s="249"/>
      <c r="E101" s="249" t="s">
        <v>915</v>
      </c>
      <c r="F101" s="249"/>
    </row>
    <row r="102" spans="2:13" ht="18" customHeight="1">
      <c r="B102" s="78">
        <v>4</v>
      </c>
      <c r="C102" s="249" t="s">
        <v>183</v>
      </c>
      <c r="D102" s="249"/>
      <c r="E102" s="249" t="s">
        <v>213</v>
      </c>
      <c r="F102" s="250"/>
    </row>
    <row r="103" spans="2:13" ht="18" customHeight="1">
      <c r="B103" s="78">
        <v>5</v>
      </c>
      <c r="C103" s="249" t="s">
        <v>184</v>
      </c>
      <c r="D103" s="249"/>
      <c r="E103" s="249" t="s">
        <v>236</v>
      </c>
      <c r="F103" s="251">
        <f>J109</f>
        <v>58093800</v>
      </c>
    </row>
    <row r="104" spans="2:13" ht="18" customHeight="1">
      <c r="B104" s="78">
        <v>6</v>
      </c>
      <c r="C104" s="249" t="s">
        <v>234</v>
      </c>
      <c r="D104" s="249"/>
      <c r="E104" s="249" t="s">
        <v>236</v>
      </c>
      <c r="F104" s="251">
        <f>J109</f>
        <v>58093800</v>
      </c>
    </row>
    <row r="105" spans="2:13" ht="18" customHeight="1">
      <c r="B105" s="78">
        <v>7</v>
      </c>
      <c r="C105" s="249" t="s">
        <v>194</v>
      </c>
      <c r="D105" s="249"/>
      <c r="E105" s="249"/>
      <c r="F105" s="249"/>
      <c r="G105" s="194"/>
    </row>
    <row r="106" spans="2:13" ht="23.25" customHeight="1">
      <c r="B106" s="77"/>
      <c r="C106" s="827" t="s">
        <v>56</v>
      </c>
      <c r="D106" s="828" t="s">
        <v>0</v>
      </c>
      <c r="E106" s="829"/>
      <c r="F106" s="830"/>
      <c r="G106" s="829" t="s">
        <v>57</v>
      </c>
      <c r="H106" s="829"/>
      <c r="I106" s="83" t="s">
        <v>58</v>
      </c>
      <c r="J106" s="83" t="s">
        <v>59</v>
      </c>
    </row>
    <row r="107" spans="2:13" ht="18" customHeight="1">
      <c r="B107" s="77"/>
      <c r="C107" s="827"/>
      <c r="D107" s="831"/>
      <c r="E107" s="832"/>
      <c r="F107" s="833"/>
      <c r="G107" s="832"/>
      <c r="H107" s="832"/>
      <c r="I107" s="84" t="s">
        <v>52</v>
      </c>
      <c r="J107" s="84" t="s">
        <v>247</v>
      </c>
    </row>
    <row r="108" spans="2:13" ht="13.5" customHeight="1">
      <c r="B108" s="77"/>
      <c r="C108" s="526">
        <v>1</v>
      </c>
      <c r="D108" s="814">
        <v>2</v>
      </c>
      <c r="E108" s="815"/>
      <c r="F108" s="816"/>
      <c r="G108" s="815">
        <v>3</v>
      </c>
      <c r="H108" s="815"/>
      <c r="I108" s="85">
        <v>4</v>
      </c>
      <c r="J108" s="85">
        <v>4</v>
      </c>
    </row>
    <row r="109" spans="2:13" ht="30.75" customHeight="1">
      <c r="B109" s="77"/>
      <c r="C109" s="86" t="s">
        <v>571</v>
      </c>
      <c r="D109" s="949" t="s">
        <v>569</v>
      </c>
      <c r="E109" s="950"/>
      <c r="F109" s="951"/>
      <c r="G109" s="527"/>
      <c r="H109" s="527"/>
      <c r="I109" s="268"/>
      <c r="J109" s="507">
        <f>SUM(J110+J150)</f>
        <v>58093800</v>
      </c>
    </row>
    <row r="110" spans="2:13" ht="31.5" customHeight="1">
      <c r="B110" s="77"/>
      <c r="C110" s="200" t="s">
        <v>415</v>
      </c>
      <c r="D110" s="820" t="s">
        <v>195</v>
      </c>
      <c r="E110" s="820"/>
      <c r="F110" s="820"/>
      <c r="G110" s="821" t="s">
        <v>919</v>
      </c>
      <c r="H110" s="821"/>
      <c r="I110" s="87"/>
      <c r="J110" s="264">
        <f>SUM(J111+J119)</f>
        <v>39392500</v>
      </c>
      <c r="L110" s="82">
        <f>5.5*4.5*2.5</f>
        <v>61.875</v>
      </c>
      <c r="M110" s="82">
        <f>5.5*4.5</f>
        <v>24.75</v>
      </c>
    </row>
    <row r="111" spans="2:13" ht="18" customHeight="1">
      <c r="B111" s="77"/>
      <c r="C111" s="88">
        <v>2</v>
      </c>
      <c r="D111" s="820" t="s">
        <v>34</v>
      </c>
      <c r="E111" s="820"/>
      <c r="F111" s="820"/>
      <c r="G111" s="532" t="s">
        <v>630</v>
      </c>
      <c r="H111" s="532" t="s">
        <v>631</v>
      </c>
      <c r="I111" s="533" t="s">
        <v>794</v>
      </c>
      <c r="J111" s="99">
        <f>SUM(J112:J118)</f>
        <v>3448000</v>
      </c>
      <c r="M111" s="82">
        <v>0.2</v>
      </c>
    </row>
    <row r="112" spans="2:13" ht="18" customHeight="1">
      <c r="B112" s="77"/>
      <c r="C112" s="91"/>
      <c r="D112" s="822" t="s">
        <v>214</v>
      </c>
      <c r="E112" s="822"/>
      <c r="F112" s="822"/>
      <c r="G112" s="532">
        <v>1</v>
      </c>
      <c r="H112" s="532" t="s">
        <v>233</v>
      </c>
      <c r="I112" s="92">
        <v>500000</v>
      </c>
      <c r="J112" s="92">
        <f>G112*I112</f>
        <v>500000</v>
      </c>
      <c r="M112" s="82">
        <f>SUM(M110/M111)</f>
        <v>123.75</v>
      </c>
    </row>
    <row r="113" spans="2:11" ht="18" customHeight="1">
      <c r="B113" s="77"/>
      <c r="C113" s="91"/>
      <c r="D113" s="918" t="s">
        <v>958</v>
      </c>
      <c r="E113" s="823"/>
      <c r="F113" s="823"/>
      <c r="G113" s="937">
        <v>2748000</v>
      </c>
      <c r="H113" s="937"/>
      <c r="I113" s="92"/>
      <c r="J113" s="92"/>
      <c r="K113" s="82">
        <f>J110*7.5%</f>
        <v>2954437.5</v>
      </c>
    </row>
    <row r="114" spans="2:11" ht="18" customHeight="1">
      <c r="B114" s="77"/>
      <c r="C114" s="91"/>
      <c r="D114" s="834" t="s">
        <v>956</v>
      </c>
      <c r="E114" s="835"/>
      <c r="F114" s="835"/>
      <c r="G114" s="532">
        <v>1</v>
      </c>
      <c r="H114" s="532" t="s">
        <v>64</v>
      </c>
      <c r="I114" s="92">
        <f>G113*25%</f>
        <v>687000</v>
      </c>
      <c r="J114" s="92">
        <f t="shared" ref="J114:J118" si="3">SUM(G114*I114)</f>
        <v>687000</v>
      </c>
    </row>
    <row r="115" spans="2:11" ht="18" customHeight="1">
      <c r="B115" s="77"/>
      <c r="C115" s="91"/>
      <c r="D115" s="834" t="s">
        <v>957</v>
      </c>
      <c r="E115" s="835"/>
      <c r="F115" s="835"/>
      <c r="G115" s="532">
        <v>1</v>
      </c>
      <c r="H115" s="532" t="s">
        <v>64</v>
      </c>
      <c r="I115" s="92">
        <f>G113*15%</f>
        <v>412200</v>
      </c>
      <c r="J115" s="92">
        <f t="shared" si="3"/>
        <v>412200</v>
      </c>
    </row>
    <row r="116" spans="2:11" ht="18" customHeight="1">
      <c r="B116" s="77"/>
      <c r="C116" s="91"/>
      <c r="D116" s="834" t="s">
        <v>954</v>
      </c>
      <c r="E116" s="835"/>
      <c r="F116" s="835"/>
      <c r="G116" s="532">
        <v>6</v>
      </c>
      <c r="H116" s="532" t="s">
        <v>64</v>
      </c>
      <c r="I116" s="92">
        <f>G113*60%/6</f>
        <v>274800</v>
      </c>
      <c r="J116" s="92">
        <f t="shared" si="3"/>
        <v>1648800</v>
      </c>
    </row>
    <row r="117" spans="2:11" ht="18" customHeight="1">
      <c r="B117" s="77"/>
      <c r="C117" s="91"/>
      <c r="D117" s="836" t="s">
        <v>215</v>
      </c>
      <c r="E117" s="836"/>
      <c r="F117" s="836"/>
      <c r="G117" s="532">
        <v>1</v>
      </c>
      <c r="H117" s="532" t="s">
        <v>217</v>
      </c>
      <c r="I117" s="92">
        <v>150000</v>
      </c>
      <c r="J117" s="92">
        <f t="shared" si="3"/>
        <v>150000</v>
      </c>
    </row>
    <row r="118" spans="2:11" ht="18" customHeight="1">
      <c r="B118" s="77"/>
      <c r="C118" s="91"/>
      <c r="D118" s="836" t="s">
        <v>216</v>
      </c>
      <c r="E118" s="836"/>
      <c r="F118" s="836"/>
      <c r="G118" s="532">
        <v>1</v>
      </c>
      <c r="H118" s="532" t="s">
        <v>217</v>
      </c>
      <c r="I118" s="92">
        <v>50000</v>
      </c>
      <c r="J118" s="92">
        <f t="shared" si="3"/>
        <v>50000</v>
      </c>
    </row>
    <row r="119" spans="2:11" ht="18" customHeight="1">
      <c r="B119" s="77"/>
      <c r="C119" s="96">
        <v>3</v>
      </c>
      <c r="D119" s="813" t="s">
        <v>32</v>
      </c>
      <c r="E119" s="813"/>
      <c r="F119" s="813"/>
      <c r="G119" s="519"/>
      <c r="H119" s="519"/>
      <c r="I119" s="97"/>
      <c r="J119" s="98">
        <f>SUM(J120:J148)</f>
        <v>35944500</v>
      </c>
    </row>
    <row r="120" spans="2:11" ht="18" customHeight="1">
      <c r="B120" s="77"/>
      <c r="C120" s="96"/>
      <c r="D120" s="837" t="s">
        <v>628</v>
      </c>
      <c r="E120" s="838"/>
      <c r="F120" s="839"/>
      <c r="G120" s="786">
        <v>90</v>
      </c>
      <c r="H120" s="786" t="s">
        <v>644</v>
      </c>
      <c r="I120" s="92">
        <v>60000</v>
      </c>
      <c r="J120" s="97">
        <f>SUM(G120*I120)</f>
        <v>5400000</v>
      </c>
    </row>
    <row r="121" spans="2:11" ht="18" customHeight="1">
      <c r="B121" s="77"/>
      <c r="C121" s="96"/>
      <c r="D121" s="836" t="s">
        <v>642</v>
      </c>
      <c r="E121" s="836"/>
      <c r="F121" s="836"/>
      <c r="G121" s="786">
        <v>45</v>
      </c>
      <c r="H121" s="786" t="s">
        <v>644</v>
      </c>
      <c r="I121" s="95">
        <v>70000</v>
      </c>
      <c r="J121" s="97">
        <f t="shared" ref="J121:J126" si="4">SUM(G121*I121)</f>
        <v>3150000</v>
      </c>
    </row>
    <row r="122" spans="2:11" ht="18" customHeight="1">
      <c r="B122" s="77"/>
      <c r="C122" s="96"/>
      <c r="D122" s="837" t="s">
        <v>408</v>
      </c>
      <c r="E122" s="838"/>
      <c r="F122" s="839"/>
      <c r="G122" s="786">
        <v>6</v>
      </c>
      <c r="H122" s="786" t="s">
        <v>644</v>
      </c>
      <c r="I122" s="95">
        <v>60000</v>
      </c>
      <c r="J122" s="97">
        <f t="shared" si="4"/>
        <v>360000</v>
      </c>
    </row>
    <row r="123" spans="2:11" ht="18" customHeight="1">
      <c r="B123" s="77"/>
      <c r="C123" s="96"/>
      <c r="D123" s="837" t="s">
        <v>715</v>
      </c>
      <c r="E123" s="838"/>
      <c r="F123" s="839"/>
      <c r="G123" s="786">
        <v>123</v>
      </c>
      <c r="H123" s="786" t="s">
        <v>699</v>
      </c>
      <c r="I123" s="95">
        <v>27600</v>
      </c>
      <c r="J123" s="97">
        <f t="shared" si="4"/>
        <v>3394800</v>
      </c>
    </row>
    <row r="124" spans="2:11" ht="18" customHeight="1">
      <c r="B124" s="77"/>
      <c r="C124" s="96"/>
      <c r="D124" s="837" t="s">
        <v>716</v>
      </c>
      <c r="E124" s="838"/>
      <c r="F124" s="839"/>
      <c r="G124" s="786">
        <v>30</v>
      </c>
      <c r="H124" s="786" t="s">
        <v>722</v>
      </c>
      <c r="I124" s="95">
        <v>19000</v>
      </c>
      <c r="J124" s="97">
        <f t="shared" si="4"/>
        <v>570000</v>
      </c>
    </row>
    <row r="125" spans="2:11" ht="18" customHeight="1">
      <c r="B125" s="77"/>
      <c r="C125" s="96"/>
      <c r="D125" s="837" t="s">
        <v>719</v>
      </c>
      <c r="E125" s="838"/>
      <c r="F125" s="839"/>
      <c r="G125" s="786">
        <v>10</v>
      </c>
      <c r="H125" s="786" t="s">
        <v>217</v>
      </c>
      <c r="I125" s="95">
        <v>14500</v>
      </c>
      <c r="J125" s="97">
        <f t="shared" si="4"/>
        <v>145000</v>
      </c>
    </row>
    <row r="126" spans="2:11" ht="18" customHeight="1">
      <c r="B126" s="77"/>
      <c r="C126" s="96"/>
      <c r="D126" s="837" t="s">
        <v>750</v>
      </c>
      <c r="E126" s="838"/>
      <c r="F126" s="839"/>
      <c r="G126" s="786">
        <v>3</v>
      </c>
      <c r="H126" s="786" t="s">
        <v>217</v>
      </c>
      <c r="I126" s="95">
        <v>20000</v>
      </c>
      <c r="J126" s="97">
        <f t="shared" si="4"/>
        <v>60000</v>
      </c>
    </row>
    <row r="127" spans="2:11" ht="18" customHeight="1">
      <c r="B127" s="77"/>
      <c r="C127" s="94"/>
      <c r="D127" s="834" t="s">
        <v>700</v>
      </c>
      <c r="E127" s="835"/>
      <c r="F127" s="835"/>
      <c r="G127" s="252">
        <v>7.69</v>
      </c>
      <c r="H127" s="532" t="s">
        <v>241</v>
      </c>
      <c r="I127" s="97">
        <v>220000</v>
      </c>
      <c r="J127" s="97">
        <f>G127*I127</f>
        <v>1691800</v>
      </c>
    </row>
    <row r="128" spans="2:11" ht="18" customHeight="1">
      <c r="B128" s="77"/>
      <c r="C128" s="94"/>
      <c r="D128" s="902" t="s">
        <v>701</v>
      </c>
      <c r="E128" s="915"/>
      <c r="F128" s="916"/>
      <c r="G128" s="532">
        <v>4.33</v>
      </c>
      <c r="H128" s="532" t="s">
        <v>241</v>
      </c>
      <c r="I128" s="97">
        <v>300000</v>
      </c>
      <c r="J128" s="97">
        <f>G128*I128</f>
        <v>1299000</v>
      </c>
    </row>
    <row r="129" spans="2:12" ht="18" customHeight="1">
      <c r="B129" s="77"/>
      <c r="C129" s="94"/>
      <c r="D129" s="834" t="s">
        <v>703</v>
      </c>
      <c r="E129" s="835"/>
      <c r="F129" s="835"/>
      <c r="G129" s="94">
        <v>2181</v>
      </c>
      <c r="H129" s="94" t="s">
        <v>102</v>
      </c>
      <c r="I129" s="97">
        <v>800</v>
      </c>
      <c r="J129" s="97">
        <f t="shared" ref="J129:J148" si="5">G129*I129</f>
        <v>1744800</v>
      </c>
    </row>
    <row r="130" spans="2:12" ht="18" customHeight="1">
      <c r="B130" s="77"/>
      <c r="C130" s="94"/>
      <c r="D130" s="834" t="s">
        <v>702</v>
      </c>
      <c r="E130" s="835"/>
      <c r="F130" s="835"/>
      <c r="G130" s="252">
        <v>7</v>
      </c>
      <c r="H130" s="532" t="s">
        <v>241</v>
      </c>
      <c r="I130" s="97">
        <v>232000</v>
      </c>
      <c r="J130" s="97">
        <f t="shared" si="5"/>
        <v>1624000</v>
      </c>
    </row>
    <row r="131" spans="2:12" ht="18" customHeight="1">
      <c r="B131" s="77"/>
      <c r="C131" s="94"/>
      <c r="D131" s="834" t="s">
        <v>738</v>
      </c>
      <c r="E131" s="835"/>
      <c r="F131" s="835"/>
      <c r="G131" s="532">
        <v>37</v>
      </c>
      <c r="H131" s="532" t="s">
        <v>288</v>
      </c>
      <c r="I131" s="97">
        <v>75000</v>
      </c>
      <c r="J131" s="97">
        <f t="shared" si="5"/>
        <v>2775000</v>
      </c>
      <c r="L131" s="82">
        <f>5.5*4.5*0.1</f>
        <v>2.4750000000000001</v>
      </c>
    </row>
    <row r="132" spans="2:12" ht="18" customHeight="1">
      <c r="B132" s="77"/>
      <c r="C132" s="94"/>
      <c r="D132" s="902" t="s">
        <v>708</v>
      </c>
      <c r="E132" s="915"/>
      <c r="F132" s="916"/>
      <c r="G132" s="532">
        <v>4</v>
      </c>
      <c r="H132" s="532" t="s">
        <v>241</v>
      </c>
      <c r="I132" s="97">
        <v>280000</v>
      </c>
      <c r="J132" s="97">
        <f t="shared" si="5"/>
        <v>1120000</v>
      </c>
    </row>
    <row r="133" spans="2:12" ht="18" customHeight="1">
      <c r="B133" s="77"/>
      <c r="C133" s="94"/>
      <c r="D133" s="902" t="s">
        <v>747</v>
      </c>
      <c r="E133" s="915"/>
      <c r="F133" s="916"/>
      <c r="G133" s="532">
        <v>23</v>
      </c>
      <c r="H133" s="532" t="s">
        <v>722</v>
      </c>
      <c r="I133" s="97">
        <v>35100</v>
      </c>
      <c r="J133" s="97">
        <f t="shared" si="5"/>
        <v>807300</v>
      </c>
    </row>
    <row r="134" spans="2:12" ht="18" customHeight="1">
      <c r="B134" s="77"/>
      <c r="C134" s="94"/>
      <c r="D134" s="902" t="s">
        <v>748</v>
      </c>
      <c r="E134" s="915"/>
      <c r="F134" s="916"/>
      <c r="G134" s="532">
        <v>52</v>
      </c>
      <c r="H134" s="532" t="s">
        <v>722</v>
      </c>
      <c r="I134" s="97">
        <v>51000</v>
      </c>
      <c r="J134" s="97">
        <f t="shared" si="5"/>
        <v>2652000</v>
      </c>
    </row>
    <row r="135" spans="2:12" ht="18" customHeight="1">
      <c r="B135" s="77"/>
      <c r="C135" s="94"/>
      <c r="D135" s="902" t="s">
        <v>749</v>
      </c>
      <c r="E135" s="915"/>
      <c r="F135" s="916"/>
      <c r="G135" s="532">
        <v>20</v>
      </c>
      <c r="H135" s="532" t="s">
        <v>722</v>
      </c>
      <c r="I135" s="97">
        <v>65000</v>
      </c>
      <c r="J135" s="97">
        <f t="shared" si="5"/>
        <v>1300000</v>
      </c>
    </row>
    <row r="136" spans="2:12" ht="18" customHeight="1">
      <c r="B136" s="77"/>
      <c r="C136" s="94"/>
      <c r="D136" s="834" t="s">
        <v>739</v>
      </c>
      <c r="E136" s="835"/>
      <c r="F136" s="835"/>
      <c r="G136" s="532">
        <v>37.5</v>
      </c>
      <c r="H136" s="532" t="s">
        <v>243</v>
      </c>
      <c r="I136" s="97">
        <v>60000</v>
      </c>
      <c r="J136" s="97">
        <f t="shared" si="5"/>
        <v>2250000</v>
      </c>
    </row>
    <row r="137" spans="2:12" ht="18" customHeight="1">
      <c r="B137" s="77"/>
      <c r="C137" s="94"/>
      <c r="D137" s="902" t="s">
        <v>712</v>
      </c>
      <c r="E137" s="900"/>
      <c r="F137" s="901"/>
      <c r="G137" s="532">
        <v>3</v>
      </c>
      <c r="H137" s="532" t="s">
        <v>102</v>
      </c>
      <c r="I137" s="97">
        <v>368000</v>
      </c>
      <c r="J137" s="97">
        <f t="shared" si="5"/>
        <v>1104000</v>
      </c>
    </row>
    <row r="138" spans="2:12" ht="18" customHeight="1">
      <c r="B138" s="77"/>
      <c r="C138" s="94"/>
      <c r="D138" s="902" t="s">
        <v>740</v>
      </c>
      <c r="E138" s="900"/>
      <c r="F138" s="901"/>
      <c r="G138" s="532">
        <v>3</v>
      </c>
      <c r="H138" s="532" t="s">
        <v>102</v>
      </c>
      <c r="I138" s="97">
        <v>375000</v>
      </c>
      <c r="J138" s="97">
        <f t="shared" si="5"/>
        <v>1125000</v>
      </c>
    </row>
    <row r="139" spans="2:12" ht="18" customHeight="1">
      <c r="B139" s="77"/>
      <c r="C139" s="94"/>
      <c r="D139" s="902" t="s">
        <v>741</v>
      </c>
      <c r="E139" s="900"/>
      <c r="F139" s="901"/>
      <c r="G139" s="532">
        <v>3</v>
      </c>
      <c r="H139" s="532" t="s">
        <v>102</v>
      </c>
      <c r="I139" s="97">
        <v>417500</v>
      </c>
      <c r="J139" s="97">
        <f t="shared" si="5"/>
        <v>1252500</v>
      </c>
    </row>
    <row r="140" spans="2:12" ht="18" customHeight="1">
      <c r="B140" s="77"/>
      <c r="C140" s="94"/>
      <c r="D140" s="902" t="s">
        <v>757</v>
      </c>
      <c r="E140" s="915"/>
      <c r="F140" s="916"/>
      <c r="G140" s="532">
        <v>60</v>
      </c>
      <c r="H140" s="532" t="s">
        <v>102</v>
      </c>
      <c r="I140" s="97">
        <v>9200</v>
      </c>
      <c r="J140" s="97">
        <f t="shared" si="5"/>
        <v>552000</v>
      </c>
    </row>
    <row r="141" spans="2:12" ht="18" customHeight="1">
      <c r="B141" s="77"/>
      <c r="C141" s="94"/>
      <c r="D141" s="902" t="s">
        <v>751</v>
      </c>
      <c r="E141" s="900"/>
      <c r="F141" s="901"/>
      <c r="G141" s="532">
        <v>2</v>
      </c>
      <c r="H141" s="532" t="s">
        <v>245</v>
      </c>
      <c r="I141" s="97">
        <v>25100</v>
      </c>
      <c r="J141" s="97">
        <f t="shared" si="5"/>
        <v>50200</v>
      </c>
    </row>
    <row r="142" spans="2:12" ht="18" customHeight="1">
      <c r="B142" s="77"/>
      <c r="C142" s="94"/>
      <c r="D142" s="902" t="s">
        <v>752</v>
      </c>
      <c r="E142" s="915"/>
      <c r="F142" s="916"/>
      <c r="G142" s="532">
        <v>3</v>
      </c>
      <c r="H142" s="532" t="s">
        <v>250</v>
      </c>
      <c r="I142" s="95">
        <v>16100</v>
      </c>
      <c r="J142" s="97">
        <f t="shared" si="5"/>
        <v>48300</v>
      </c>
    </row>
    <row r="143" spans="2:12" ht="18" customHeight="1">
      <c r="B143" s="77"/>
      <c r="C143" s="94"/>
      <c r="D143" s="902" t="s">
        <v>753</v>
      </c>
      <c r="E143" s="915"/>
      <c r="F143" s="916"/>
      <c r="G143" s="532">
        <v>4</v>
      </c>
      <c r="H143" s="532" t="s">
        <v>722</v>
      </c>
      <c r="I143" s="95">
        <v>4500</v>
      </c>
      <c r="J143" s="97">
        <f t="shared" si="5"/>
        <v>18000</v>
      </c>
    </row>
    <row r="144" spans="2:12" ht="18" customHeight="1">
      <c r="B144" s="77"/>
      <c r="C144" s="94"/>
      <c r="D144" s="902" t="s">
        <v>713</v>
      </c>
      <c r="E144" s="915"/>
      <c r="F144" s="916"/>
      <c r="G144" s="532">
        <v>5</v>
      </c>
      <c r="H144" s="532" t="s">
        <v>722</v>
      </c>
      <c r="I144" s="95">
        <v>117500</v>
      </c>
      <c r="J144" s="97">
        <f t="shared" si="5"/>
        <v>587500</v>
      </c>
    </row>
    <row r="145" spans="2:12" ht="18" customHeight="1">
      <c r="B145" s="77"/>
      <c r="C145" s="94"/>
      <c r="D145" s="902" t="s">
        <v>754</v>
      </c>
      <c r="E145" s="915"/>
      <c r="F145" s="916"/>
      <c r="G145" s="532">
        <v>3</v>
      </c>
      <c r="H145" s="532" t="s">
        <v>217</v>
      </c>
      <c r="I145" s="95">
        <v>31600</v>
      </c>
      <c r="J145" s="97">
        <f t="shared" si="5"/>
        <v>94800</v>
      </c>
    </row>
    <row r="146" spans="2:12" ht="18" customHeight="1">
      <c r="B146" s="77"/>
      <c r="C146" s="94"/>
      <c r="D146" s="902" t="s">
        <v>755</v>
      </c>
      <c r="E146" s="915"/>
      <c r="F146" s="916"/>
      <c r="G146" s="532">
        <v>6</v>
      </c>
      <c r="H146" s="532" t="s">
        <v>217</v>
      </c>
      <c r="I146" s="95">
        <v>10000</v>
      </c>
      <c r="J146" s="97">
        <f t="shared" si="5"/>
        <v>60000</v>
      </c>
    </row>
    <row r="147" spans="2:12" ht="18" customHeight="1">
      <c r="B147" s="77"/>
      <c r="C147" s="94"/>
      <c r="D147" s="902" t="s">
        <v>714</v>
      </c>
      <c r="E147" s="915"/>
      <c r="F147" s="916"/>
      <c r="G147" s="532">
        <v>4</v>
      </c>
      <c r="H147" s="532" t="s">
        <v>250</v>
      </c>
      <c r="I147" s="95">
        <v>36500</v>
      </c>
      <c r="J147" s="97">
        <f t="shared" si="5"/>
        <v>146000</v>
      </c>
    </row>
    <row r="148" spans="2:12" ht="18" customHeight="1">
      <c r="B148" s="77"/>
      <c r="C148" s="94"/>
      <c r="D148" s="902" t="s">
        <v>756</v>
      </c>
      <c r="E148" s="915"/>
      <c r="F148" s="916"/>
      <c r="G148" s="532">
        <v>25</v>
      </c>
      <c r="H148" s="532" t="s">
        <v>250</v>
      </c>
      <c r="I148" s="95">
        <v>22500</v>
      </c>
      <c r="J148" s="97">
        <f t="shared" si="5"/>
        <v>562500</v>
      </c>
    </row>
    <row r="149" spans="2:12" ht="18" customHeight="1">
      <c r="B149" s="77"/>
      <c r="C149" s="101"/>
      <c r="D149" s="811" t="s">
        <v>221</v>
      </c>
      <c r="E149" s="811"/>
      <c r="F149" s="811"/>
      <c r="G149" s="812"/>
      <c r="H149" s="812"/>
      <c r="I149" s="102"/>
      <c r="J149" s="109">
        <f>J110</f>
        <v>39392500</v>
      </c>
    </row>
    <row r="150" spans="2:12" ht="27.75" customHeight="1">
      <c r="B150" s="77"/>
      <c r="C150" s="200" t="s">
        <v>429</v>
      </c>
      <c r="D150" s="820" t="s">
        <v>737</v>
      </c>
      <c r="E150" s="820"/>
      <c r="F150" s="820"/>
      <c r="G150" s="821" t="s">
        <v>918</v>
      </c>
      <c r="H150" s="821"/>
      <c r="I150" s="87"/>
      <c r="J150" s="264">
        <f>SUM(J151+J159)</f>
        <v>18701300</v>
      </c>
    </row>
    <row r="151" spans="2:12" ht="18" customHeight="1">
      <c r="B151" s="77"/>
      <c r="C151" s="88">
        <v>2</v>
      </c>
      <c r="D151" s="820" t="s">
        <v>34</v>
      </c>
      <c r="E151" s="820"/>
      <c r="F151" s="820"/>
      <c r="G151" s="532" t="s">
        <v>630</v>
      </c>
      <c r="H151" s="532" t="s">
        <v>631</v>
      </c>
      <c r="I151" s="533" t="s">
        <v>825</v>
      </c>
      <c r="J151" s="99">
        <f>SUM(J152:J158)</f>
        <v>2005000</v>
      </c>
    </row>
    <row r="152" spans="2:12" ht="18" customHeight="1">
      <c r="B152" s="77"/>
      <c r="C152" s="91"/>
      <c r="D152" s="822" t="s">
        <v>214</v>
      </c>
      <c r="E152" s="822"/>
      <c r="F152" s="822"/>
      <c r="G152" s="532">
        <v>1</v>
      </c>
      <c r="H152" s="532" t="s">
        <v>403</v>
      </c>
      <c r="I152" s="92">
        <v>500000</v>
      </c>
      <c r="J152" s="92">
        <f>G152*I152</f>
        <v>500000</v>
      </c>
    </row>
    <row r="153" spans="2:12" ht="18" customHeight="1">
      <c r="B153" s="77"/>
      <c r="C153" s="91"/>
      <c r="D153" s="823" t="s">
        <v>41</v>
      </c>
      <c r="E153" s="823"/>
      <c r="F153" s="823"/>
      <c r="G153" s="937">
        <v>1305000</v>
      </c>
      <c r="H153" s="937"/>
      <c r="I153" s="92"/>
      <c r="J153" s="92"/>
      <c r="K153" s="82">
        <f>J150*7.5%</f>
        <v>1402597.5</v>
      </c>
      <c r="L153" s="82">
        <f>K113+K153</f>
        <v>4357035</v>
      </c>
    </row>
    <row r="154" spans="2:12" ht="18" customHeight="1">
      <c r="B154" s="77"/>
      <c r="C154" s="91"/>
      <c r="D154" s="835" t="s">
        <v>207</v>
      </c>
      <c r="E154" s="835"/>
      <c r="F154" s="835"/>
      <c r="G154" s="532">
        <v>1</v>
      </c>
      <c r="H154" s="532" t="s">
        <v>64</v>
      </c>
      <c r="I154" s="92">
        <f>G153*25%</f>
        <v>326250</v>
      </c>
      <c r="J154" s="92">
        <f>SUM(G154*I154)</f>
        <v>326250</v>
      </c>
    </row>
    <row r="155" spans="2:12" ht="18" customHeight="1">
      <c r="B155" s="77"/>
      <c r="C155" s="91"/>
      <c r="D155" s="835" t="s">
        <v>695</v>
      </c>
      <c r="E155" s="835"/>
      <c r="F155" s="835"/>
      <c r="G155" s="532">
        <v>1</v>
      </c>
      <c r="H155" s="532" t="s">
        <v>64</v>
      </c>
      <c r="I155" s="92">
        <f>G153*15%</f>
        <v>195750</v>
      </c>
      <c r="J155" s="92">
        <f>SUM(G155*I155)</f>
        <v>195750</v>
      </c>
    </row>
    <row r="156" spans="2:12" ht="18" customHeight="1">
      <c r="B156" s="77"/>
      <c r="C156" s="91"/>
      <c r="D156" s="835" t="s">
        <v>70</v>
      </c>
      <c r="E156" s="835"/>
      <c r="F156" s="835"/>
      <c r="G156" s="532">
        <v>6</v>
      </c>
      <c r="H156" s="532" t="s">
        <v>64</v>
      </c>
      <c r="I156" s="92">
        <f>G153*60%/6</f>
        <v>130500</v>
      </c>
      <c r="J156" s="92">
        <f>SUM(G156*I156)</f>
        <v>783000</v>
      </c>
    </row>
    <row r="157" spans="2:12" ht="18" customHeight="1">
      <c r="B157" s="77"/>
      <c r="C157" s="91"/>
      <c r="D157" s="836" t="s">
        <v>215</v>
      </c>
      <c r="E157" s="836"/>
      <c r="F157" s="836"/>
      <c r="G157" s="532">
        <v>1</v>
      </c>
      <c r="H157" s="532" t="s">
        <v>217</v>
      </c>
      <c r="I157" s="92">
        <v>150000</v>
      </c>
      <c r="J157" s="92">
        <f t="shared" ref="J157:J158" si="6">SUM(G157*I157)</f>
        <v>150000</v>
      </c>
    </row>
    <row r="158" spans="2:12" ht="18" customHeight="1">
      <c r="B158" s="77"/>
      <c r="C158" s="91"/>
      <c r="D158" s="836" t="s">
        <v>216</v>
      </c>
      <c r="E158" s="836"/>
      <c r="F158" s="836"/>
      <c r="G158" s="532">
        <v>1</v>
      </c>
      <c r="H158" s="532" t="s">
        <v>217</v>
      </c>
      <c r="I158" s="92">
        <v>50000</v>
      </c>
      <c r="J158" s="92">
        <f t="shared" si="6"/>
        <v>50000</v>
      </c>
    </row>
    <row r="159" spans="2:12" ht="18" customHeight="1">
      <c r="B159" s="77"/>
      <c r="C159" s="96">
        <v>3</v>
      </c>
      <c r="D159" s="813" t="s">
        <v>32</v>
      </c>
      <c r="E159" s="813"/>
      <c r="F159" s="813"/>
      <c r="G159" s="519"/>
      <c r="H159" s="519"/>
      <c r="I159" s="97"/>
      <c r="J159" s="98">
        <f>SUM(J160:J174)</f>
        <v>16696300</v>
      </c>
      <c r="L159" s="82" t="e">
        <f>SUM(#REF!/#REF!)</f>
        <v>#REF!</v>
      </c>
    </row>
    <row r="160" spans="2:12" ht="18" customHeight="1">
      <c r="B160" s="77"/>
      <c r="C160" s="96"/>
      <c r="D160" s="837" t="s">
        <v>628</v>
      </c>
      <c r="E160" s="838"/>
      <c r="F160" s="839"/>
      <c r="G160" s="786">
        <v>55</v>
      </c>
      <c r="H160" s="786" t="s">
        <v>644</v>
      </c>
      <c r="I160" s="92">
        <v>60000</v>
      </c>
      <c r="J160" s="97">
        <f>SUM(G160*I160)</f>
        <v>3300000</v>
      </c>
    </row>
    <row r="161" spans="2:10" ht="18" customHeight="1">
      <c r="B161" s="77"/>
      <c r="C161" s="96"/>
      <c r="D161" s="836" t="s">
        <v>642</v>
      </c>
      <c r="E161" s="836"/>
      <c r="F161" s="836"/>
      <c r="G161" s="786">
        <v>30</v>
      </c>
      <c r="H161" s="786" t="s">
        <v>644</v>
      </c>
      <c r="I161" s="95">
        <v>70000</v>
      </c>
      <c r="J161" s="97">
        <f t="shared" ref="J161:J164" si="7">SUM(G161*I161)</f>
        <v>2100000</v>
      </c>
    </row>
    <row r="162" spans="2:10" ht="18" customHeight="1">
      <c r="B162" s="77"/>
      <c r="C162" s="96"/>
      <c r="D162" s="837" t="s">
        <v>716</v>
      </c>
      <c r="E162" s="838"/>
      <c r="F162" s="839"/>
      <c r="G162" s="786">
        <v>10</v>
      </c>
      <c r="H162" s="786" t="s">
        <v>722</v>
      </c>
      <c r="I162" s="95">
        <v>19000</v>
      </c>
      <c r="J162" s="97">
        <f t="shared" si="7"/>
        <v>190000</v>
      </c>
    </row>
    <row r="163" spans="2:10" ht="18" customHeight="1">
      <c r="B163" s="77"/>
      <c r="C163" s="96"/>
      <c r="D163" s="837" t="s">
        <v>715</v>
      </c>
      <c r="E163" s="838"/>
      <c r="F163" s="839"/>
      <c r="G163" s="786">
        <v>75</v>
      </c>
      <c r="H163" s="786" t="s">
        <v>699</v>
      </c>
      <c r="I163" s="95">
        <v>27600</v>
      </c>
      <c r="J163" s="97">
        <f t="shared" si="7"/>
        <v>2070000</v>
      </c>
    </row>
    <row r="164" spans="2:10" ht="18" customHeight="1">
      <c r="B164" s="77"/>
      <c r="C164" s="96"/>
      <c r="D164" s="837" t="s">
        <v>719</v>
      </c>
      <c r="E164" s="838"/>
      <c r="F164" s="839"/>
      <c r="G164" s="786">
        <v>10</v>
      </c>
      <c r="H164" s="786" t="s">
        <v>217</v>
      </c>
      <c r="I164" s="95">
        <v>14500</v>
      </c>
      <c r="J164" s="97">
        <f t="shared" si="7"/>
        <v>145000</v>
      </c>
    </row>
    <row r="165" spans="2:10" ht="18" customHeight="1">
      <c r="B165" s="77"/>
      <c r="C165" s="94"/>
      <c r="D165" s="834" t="s">
        <v>701</v>
      </c>
      <c r="E165" s="835"/>
      <c r="F165" s="835"/>
      <c r="G165" s="532">
        <v>3</v>
      </c>
      <c r="H165" s="532" t="s">
        <v>241</v>
      </c>
      <c r="I165" s="97">
        <v>300000</v>
      </c>
      <c r="J165" s="97">
        <f>G165*I165</f>
        <v>900000</v>
      </c>
    </row>
    <row r="166" spans="2:10" ht="18" customHeight="1">
      <c r="B166" s="77"/>
      <c r="C166" s="94"/>
      <c r="D166" s="834" t="s">
        <v>700</v>
      </c>
      <c r="E166" s="835"/>
      <c r="F166" s="835"/>
      <c r="G166" s="94">
        <v>2</v>
      </c>
      <c r="H166" s="94" t="s">
        <v>102</v>
      </c>
      <c r="I166" s="97">
        <v>220000</v>
      </c>
      <c r="J166" s="97">
        <f t="shared" ref="J166:J174" si="8">G166*I166</f>
        <v>440000</v>
      </c>
    </row>
    <row r="167" spans="2:10" ht="18" customHeight="1">
      <c r="B167" s="77"/>
      <c r="C167" s="94"/>
      <c r="D167" s="834" t="s">
        <v>708</v>
      </c>
      <c r="E167" s="835"/>
      <c r="F167" s="835"/>
      <c r="G167" s="532">
        <v>3</v>
      </c>
      <c r="H167" s="532" t="s">
        <v>241</v>
      </c>
      <c r="I167" s="97">
        <v>280000</v>
      </c>
      <c r="J167" s="97">
        <f t="shared" si="8"/>
        <v>840000</v>
      </c>
    </row>
    <row r="168" spans="2:10" ht="18" customHeight="1">
      <c r="B168" s="77"/>
      <c r="C168" s="94"/>
      <c r="D168" s="834" t="s">
        <v>758</v>
      </c>
      <c r="E168" s="835"/>
      <c r="F168" s="835"/>
      <c r="G168" s="532">
        <v>15</v>
      </c>
      <c r="H168" s="532" t="s">
        <v>288</v>
      </c>
      <c r="I168" s="97">
        <v>75000</v>
      </c>
      <c r="J168" s="97">
        <f t="shared" si="8"/>
        <v>1125000</v>
      </c>
    </row>
    <row r="169" spans="2:10" ht="18" customHeight="1">
      <c r="B169" s="77"/>
      <c r="C169" s="94"/>
      <c r="D169" s="902" t="s">
        <v>759</v>
      </c>
      <c r="E169" s="915"/>
      <c r="F169" s="916"/>
      <c r="G169" s="532">
        <v>2</v>
      </c>
      <c r="H169" s="532" t="s">
        <v>722</v>
      </c>
      <c r="I169" s="97">
        <v>35900</v>
      </c>
      <c r="J169" s="97">
        <f t="shared" si="8"/>
        <v>71800</v>
      </c>
    </row>
    <row r="170" spans="2:10" ht="18" customHeight="1">
      <c r="B170" s="77"/>
      <c r="C170" s="94"/>
      <c r="D170" s="902" t="s">
        <v>760</v>
      </c>
      <c r="E170" s="915"/>
      <c r="F170" s="916"/>
      <c r="G170" s="532">
        <v>17</v>
      </c>
      <c r="H170" s="532" t="s">
        <v>722</v>
      </c>
      <c r="I170" s="97">
        <v>51000</v>
      </c>
      <c r="J170" s="97">
        <f t="shared" si="8"/>
        <v>867000</v>
      </c>
    </row>
    <row r="171" spans="2:10" ht="18" customHeight="1">
      <c r="B171" s="77"/>
      <c r="C171" s="94"/>
      <c r="D171" s="902" t="s">
        <v>761</v>
      </c>
      <c r="E171" s="915"/>
      <c r="F171" s="916"/>
      <c r="G171" s="532">
        <v>8</v>
      </c>
      <c r="H171" s="532" t="s">
        <v>722</v>
      </c>
      <c r="I171" s="97">
        <v>61000</v>
      </c>
      <c r="J171" s="97">
        <f t="shared" si="8"/>
        <v>488000</v>
      </c>
    </row>
    <row r="172" spans="2:10" ht="18" customHeight="1">
      <c r="B172" s="77"/>
      <c r="C172" s="94"/>
      <c r="D172" s="834" t="s">
        <v>739</v>
      </c>
      <c r="E172" s="835"/>
      <c r="F172" s="835"/>
      <c r="G172" s="532">
        <v>45</v>
      </c>
      <c r="H172" s="532" t="s">
        <v>243</v>
      </c>
      <c r="I172" s="97">
        <v>62700</v>
      </c>
      <c r="J172" s="97">
        <f t="shared" si="8"/>
        <v>2821500</v>
      </c>
    </row>
    <row r="173" spans="2:10" ht="18" customHeight="1">
      <c r="B173" s="77"/>
      <c r="C173" s="94"/>
      <c r="D173" s="902" t="s">
        <v>712</v>
      </c>
      <c r="E173" s="900"/>
      <c r="F173" s="901"/>
      <c r="G173" s="532">
        <v>2</v>
      </c>
      <c r="H173" s="532" t="s">
        <v>245</v>
      </c>
      <c r="I173" s="97">
        <v>294000</v>
      </c>
      <c r="J173" s="97">
        <f t="shared" si="8"/>
        <v>588000</v>
      </c>
    </row>
    <row r="174" spans="2:10" ht="18" customHeight="1">
      <c r="B174" s="77"/>
      <c r="C174" s="94"/>
      <c r="D174" s="516" t="s">
        <v>740</v>
      </c>
      <c r="E174" s="520"/>
      <c r="F174" s="521"/>
      <c r="G174" s="532">
        <v>2</v>
      </c>
      <c r="H174" s="532" t="s">
        <v>217</v>
      </c>
      <c r="I174" s="95">
        <v>375000</v>
      </c>
      <c r="J174" s="97">
        <f t="shared" si="8"/>
        <v>750000</v>
      </c>
    </row>
    <row r="175" spans="2:10" ht="18" customHeight="1">
      <c r="B175" s="77"/>
      <c r="C175" s="101"/>
      <c r="D175" s="811" t="s">
        <v>221</v>
      </c>
      <c r="E175" s="811"/>
      <c r="F175" s="811"/>
      <c r="G175" s="812"/>
      <c r="H175" s="812"/>
      <c r="I175" s="102"/>
      <c r="J175" s="109">
        <f>J150</f>
        <v>18701300</v>
      </c>
    </row>
    <row r="176" spans="2:10" ht="18" customHeight="1">
      <c r="B176" s="77"/>
      <c r="C176" s="522"/>
      <c r="D176" s="522"/>
      <c r="E176" s="77"/>
      <c r="F176" s="77"/>
      <c r="G176" s="79"/>
      <c r="H176" s="810" t="s">
        <v>982</v>
      </c>
      <c r="I176" s="810"/>
      <c r="J176" s="810"/>
    </row>
    <row r="177" spans="2:10" ht="18" customHeight="1">
      <c r="B177" s="77"/>
      <c r="C177" s="77"/>
      <c r="D177" s="77"/>
      <c r="E177" s="78" t="s">
        <v>76</v>
      </c>
      <c r="F177" s="78"/>
      <c r="G177" s="79"/>
      <c r="H177" s="810" t="s">
        <v>77</v>
      </c>
      <c r="I177" s="810"/>
      <c r="J177" s="810"/>
    </row>
    <row r="178" spans="2:10" ht="18" customHeight="1">
      <c r="B178" s="77"/>
      <c r="C178" s="77"/>
      <c r="E178" s="78" t="s">
        <v>78</v>
      </c>
      <c r="F178" s="522"/>
      <c r="G178" s="79"/>
      <c r="H178" s="79"/>
      <c r="I178" s="104"/>
      <c r="J178" s="104"/>
    </row>
    <row r="179" spans="2:10" ht="18" customHeight="1">
      <c r="B179" s="77"/>
      <c r="C179" s="522"/>
      <c r="D179" s="522"/>
      <c r="E179" s="522"/>
      <c r="F179" s="522"/>
      <c r="G179" s="79"/>
      <c r="H179" s="79"/>
      <c r="I179" s="80"/>
      <c r="J179" s="80"/>
    </row>
    <row r="180" spans="2:10" ht="18" customHeight="1">
      <c r="B180" s="77"/>
      <c r="C180" s="522"/>
      <c r="D180" s="522"/>
      <c r="E180" s="522"/>
      <c r="F180" s="522"/>
      <c r="G180" s="79"/>
      <c r="H180" s="79"/>
      <c r="I180" s="80"/>
      <c r="J180" s="80"/>
    </row>
    <row r="181" spans="2:10" ht="18" customHeight="1">
      <c r="B181" s="77"/>
      <c r="C181" s="522"/>
      <c r="D181" s="522"/>
      <c r="E181" s="522"/>
      <c r="F181" s="522"/>
      <c r="G181" s="79"/>
      <c r="H181" s="79"/>
      <c r="I181" s="80"/>
      <c r="J181" s="80"/>
    </row>
    <row r="182" spans="2:10" ht="18" customHeight="1">
      <c r="B182" s="77"/>
      <c r="C182" s="522"/>
      <c r="D182" s="522"/>
      <c r="E182" s="78" t="s">
        <v>51</v>
      </c>
      <c r="F182" s="78"/>
      <c r="G182" s="79"/>
      <c r="H182" s="810" t="s">
        <v>225</v>
      </c>
      <c r="I182" s="810"/>
      <c r="J182" s="810"/>
    </row>
    <row r="183" spans="2:10" ht="18" customHeight="1">
      <c r="B183" s="77"/>
      <c r="C183" s="522"/>
      <c r="D183" s="522"/>
      <c r="E183" s="78"/>
      <c r="F183" s="78"/>
      <c r="G183" s="79"/>
      <c r="H183" s="522"/>
      <c r="I183" s="522"/>
      <c r="J183" s="522"/>
    </row>
    <row r="184" spans="2:10" ht="15" customHeight="1">
      <c r="B184" s="824" t="s">
        <v>54</v>
      </c>
      <c r="C184" s="824"/>
      <c r="D184" s="824"/>
      <c r="E184" s="824"/>
      <c r="F184" s="824"/>
      <c r="G184" s="824"/>
      <c r="H184" s="824"/>
      <c r="I184" s="824"/>
      <c r="J184" s="824"/>
    </row>
    <row r="185" spans="2:10" ht="15" customHeight="1">
      <c r="B185" s="824" t="s">
        <v>55</v>
      </c>
      <c r="C185" s="824"/>
      <c r="D185" s="824"/>
      <c r="E185" s="824"/>
      <c r="F185" s="824"/>
      <c r="G185" s="824"/>
      <c r="H185" s="824"/>
      <c r="I185" s="824"/>
      <c r="J185" s="824"/>
    </row>
    <row r="186" spans="2:10" ht="15" customHeight="1">
      <c r="B186" s="824" t="s">
        <v>914</v>
      </c>
      <c r="C186" s="824"/>
      <c r="D186" s="824"/>
      <c r="E186" s="824"/>
      <c r="F186" s="824"/>
      <c r="G186" s="824"/>
      <c r="H186" s="824"/>
      <c r="I186" s="824"/>
      <c r="J186" s="824"/>
    </row>
    <row r="187" spans="2:10" ht="6.75" customHeight="1">
      <c r="B187" s="77"/>
      <c r="C187" s="78"/>
      <c r="D187" s="78"/>
      <c r="E187" s="77"/>
      <c r="F187" s="77"/>
      <c r="G187" s="79"/>
      <c r="H187" s="79"/>
      <c r="I187" s="80"/>
      <c r="J187" s="80"/>
    </row>
    <row r="188" spans="2:10" ht="15" customHeight="1">
      <c r="B188" s="78">
        <v>1</v>
      </c>
      <c r="C188" s="249" t="s">
        <v>172</v>
      </c>
      <c r="D188" s="249"/>
      <c r="E188" s="249" t="s">
        <v>474</v>
      </c>
      <c r="F188" s="249"/>
    </row>
    <row r="189" spans="2:10" ht="15" customHeight="1">
      <c r="B189" s="78">
        <v>2</v>
      </c>
      <c r="C189" s="249" t="s">
        <v>173</v>
      </c>
      <c r="D189" s="249"/>
      <c r="E189" s="919" t="s">
        <v>573</v>
      </c>
      <c r="F189" s="919"/>
      <c r="G189" s="919"/>
      <c r="H189" s="919"/>
      <c r="I189" s="919"/>
    </row>
    <row r="190" spans="2:10" ht="15" customHeight="1">
      <c r="B190" s="78">
        <v>3</v>
      </c>
      <c r="C190" s="249" t="s">
        <v>174</v>
      </c>
      <c r="D190" s="249"/>
      <c r="E190" s="249" t="s">
        <v>910</v>
      </c>
      <c r="F190" s="249"/>
    </row>
    <row r="191" spans="2:10" ht="15" customHeight="1">
      <c r="B191" s="78">
        <v>4</v>
      </c>
      <c r="C191" s="249" t="s">
        <v>183</v>
      </c>
      <c r="D191" s="249"/>
      <c r="E191" s="249" t="s">
        <v>213</v>
      </c>
      <c r="F191" s="250"/>
    </row>
    <row r="192" spans="2:10" ht="15" customHeight="1">
      <c r="B192" s="78">
        <v>5</v>
      </c>
      <c r="C192" s="249" t="s">
        <v>184</v>
      </c>
      <c r="D192" s="249"/>
      <c r="E192" s="249" t="s">
        <v>236</v>
      </c>
      <c r="F192" s="251">
        <f>J198</f>
        <v>35837832</v>
      </c>
    </row>
    <row r="193" spans="2:13" ht="15" customHeight="1">
      <c r="B193" s="78">
        <v>6</v>
      </c>
      <c r="C193" s="249" t="s">
        <v>234</v>
      </c>
      <c r="D193" s="249"/>
      <c r="E193" s="249" t="s">
        <v>236</v>
      </c>
      <c r="F193" s="251">
        <f>J199</f>
        <v>35837832</v>
      </c>
    </row>
    <row r="194" spans="2:13" ht="15" customHeight="1">
      <c r="B194" s="78">
        <v>7</v>
      </c>
      <c r="C194" s="249" t="s">
        <v>194</v>
      </c>
      <c r="D194" s="249"/>
      <c r="E194" s="249"/>
      <c r="F194" s="249"/>
      <c r="G194" s="194"/>
    </row>
    <row r="195" spans="2:13" ht="24.75" customHeight="1">
      <c r="B195" s="77"/>
      <c r="C195" s="827" t="s">
        <v>56</v>
      </c>
      <c r="D195" s="828" t="s">
        <v>0</v>
      </c>
      <c r="E195" s="829"/>
      <c r="F195" s="830"/>
      <c r="G195" s="829" t="s">
        <v>57</v>
      </c>
      <c r="H195" s="829"/>
      <c r="I195" s="83" t="s">
        <v>58</v>
      </c>
      <c r="J195" s="83" t="s">
        <v>59</v>
      </c>
    </row>
    <row r="196" spans="2:13" ht="15.75" customHeight="1">
      <c r="B196" s="77"/>
      <c r="C196" s="827"/>
      <c r="D196" s="831"/>
      <c r="E196" s="832"/>
      <c r="F196" s="833"/>
      <c r="G196" s="832"/>
      <c r="H196" s="832"/>
      <c r="I196" s="84" t="s">
        <v>52</v>
      </c>
      <c r="J196" s="84" t="s">
        <v>247</v>
      </c>
    </row>
    <row r="197" spans="2:13" ht="10.5" customHeight="1">
      <c r="B197" s="77"/>
      <c r="C197" s="526">
        <v>1</v>
      </c>
      <c r="D197" s="814">
        <v>2</v>
      </c>
      <c r="E197" s="815"/>
      <c r="F197" s="816"/>
      <c r="G197" s="938">
        <v>3</v>
      </c>
      <c r="H197" s="938"/>
      <c r="I197" s="85">
        <v>4</v>
      </c>
      <c r="J197" s="85">
        <v>4</v>
      </c>
    </row>
    <row r="198" spans="2:13" ht="27" customHeight="1">
      <c r="B198" s="77"/>
      <c r="C198" s="86" t="s">
        <v>574</v>
      </c>
      <c r="D198" s="946" t="s">
        <v>572</v>
      </c>
      <c r="E198" s="946"/>
      <c r="F198" s="946"/>
      <c r="G198" s="821"/>
      <c r="H198" s="821"/>
      <c r="I198" s="87"/>
      <c r="J198" s="109">
        <f>J199</f>
        <v>35837832</v>
      </c>
      <c r="L198" s="82">
        <f>J198*10%</f>
        <v>3583783.2</v>
      </c>
    </row>
    <row r="199" spans="2:13" ht="25.5" customHeight="1">
      <c r="B199" s="77"/>
      <c r="C199" s="514" t="s">
        <v>6</v>
      </c>
      <c r="D199" s="820" t="s">
        <v>934</v>
      </c>
      <c r="E199" s="820"/>
      <c r="F199" s="820"/>
      <c r="G199" s="518"/>
      <c r="H199" s="518"/>
      <c r="I199" s="87"/>
      <c r="J199" s="264">
        <f>SUM(J200+J208)</f>
        <v>35837832</v>
      </c>
      <c r="L199" s="82">
        <f>L198-G202</f>
        <v>1086751.2000000002</v>
      </c>
    </row>
    <row r="200" spans="2:13" ht="15" customHeight="1">
      <c r="B200" s="77"/>
      <c r="C200" s="88">
        <v>2</v>
      </c>
      <c r="D200" s="820" t="s">
        <v>34</v>
      </c>
      <c r="E200" s="820"/>
      <c r="F200" s="820"/>
      <c r="G200" s="532" t="s">
        <v>246</v>
      </c>
      <c r="H200" s="532" t="s">
        <v>219</v>
      </c>
      <c r="I200" s="89"/>
      <c r="J200" s="99">
        <f>SUM(J201:J207)</f>
        <v>3247032</v>
      </c>
    </row>
    <row r="201" spans="2:13" ht="15" customHeight="1">
      <c r="B201" s="77"/>
      <c r="C201" s="91"/>
      <c r="D201" s="822" t="s">
        <v>214</v>
      </c>
      <c r="E201" s="822"/>
      <c r="F201" s="822"/>
      <c r="G201" s="532">
        <v>1</v>
      </c>
      <c r="H201" s="197" t="s">
        <v>233</v>
      </c>
      <c r="I201" s="92">
        <v>500000</v>
      </c>
      <c r="J201" s="92">
        <f>G201*I201</f>
        <v>500000</v>
      </c>
    </row>
    <row r="202" spans="2:13" ht="15" customHeight="1">
      <c r="B202" s="77"/>
      <c r="C202" s="91"/>
      <c r="D202" s="823" t="s">
        <v>41</v>
      </c>
      <c r="E202" s="823"/>
      <c r="F202" s="823"/>
      <c r="G202" s="935">
        <v>2497032</v>
      </c>
      <c r="H202" s="936"/>
      <c r="I202" s="92"/>
      <c r="J202" s="92"/>
      <c r="K202" s="82">
        <f>J199*7.5%</f>
        <v>2687837.4</v>
      </c>
      <c r="L202" s="82">
        <f>APBDes2017!H178</f>
        <v>0</v>
      </c>
    </row>
    <row r="203" spans="2:13" ht="15" customHeight="1">
      <c r="B203" s="77"/>
      <c r="C203" s="91"/>
      <c r="D203" s="835" t="s">
        <v>207</v>
      </c>
      <c r="E203" s="835"/>
      <c r="F203" s="835"/>
      <c r="G203" s="532">
        <v>1</v>
      </c>
      <c r="H203" s="532" t="s">
        <v>64</v>
      </c>
      <c r="I203" s="92">
        <f>G202*25%</f>
        <v>624258</v>
      </c>
      <c r="J203" s="92">
        <f>SUM(G203*I203)</f>
        <v>624258</v>
      </c>
      <c r="L203" s="82">
        <v>3528</v>
      </c>
    </row>
    <row r="204" spans="2:13" ht="15" customHeight="1">
      <c r="B204" s="77"/>
      <c r="C204" s="91"/>
      <c r="D204" s="835" t="s">
        <v>695</v>
      </c>
      <c r="E204" s="835"/>
      <c r="F204" s="835"/>
      <c r="G204" s="532">
        <v>1</v>
      </c>
      <c r="H204" s="532" t="s">
        <v>64</v>
      </c>
      <c r="I204" s="92">
        <f>G202*15%</f>
        <v>374554.8</v>
      </c>
      <c r="J204" s="92">
        <f t="shared" ref="J204:J205" si="9">SUM(G204*I204)</f>
        <v>374554.8</v>
      </c>
      <c r="L204" s="82">
        <f>K202-L203</f>
        <v>2684309.4</v>
      </c>
      <c r="M204" s="82">
        <v>2684574</v>
      </c>
    </row>
    <row r="205" spans="2:13" ht="15" customHeight="1">
      <c r="B205" s="77"/>
      <c r="C205" s="91"/>
      <c r="D205" s="835" t="s">
        <v>70</v>
      </c>
      <c r="E205" s="835"/>
      <c r="F205" s="835"/>
      <c r="G205" s="532">
        <v>7</v>
      </c>
      <c r="H205" s="532" t="s">
        <v>64</v>
      </c>
      <c r="I205" s="92">
        <f>G202*60%/G205</f>
        <v>214031.31428571427</v>
      </c>
      <c r="J205" s="92">
        <f t="shared" si="9"/>
        <v>1498219.2</v>
      </c>
    </row>
    <row r="206" spans="2:13" ht="15" customHeight="1">
      <c r="B206" s="77"/>
      <c r="C206" s="91"/>
      <c r="D206" s="836" t="s">
        <v>215</v>
      </c>
      <c r="E206" s="836"/>
      <c r="F206" s="836"/>
      <c r="G206" s="532">
        <v>1</v>
      </c>
      <c r="H206" s="532" t="s">
        <v>217</v>
      </c>
      <c r="I206" s="92">
        <v>200000</v>
      </c>
      <c r="J206" s="92">
        <f>SUM(G206*I206)</f>
        <v>200000</v>
      </c>
    </row>
    <row r="207" spans="2:13" ht="15" customHeight="1">
      <c r="B207" s="77"/>
      <c r="C207" s="91"/>
      <c r="D207" s="836" t="s">
        <v>216</v>
      </c>
      <c r="E207" s="836"/>
      <c r="F207" s="836"/>
      <c r="G207" s="532">
        <v>1</v>
      </c>
      <c r="H207" s="532" t="s">
        <v>217</v>
      </c>
      <c r="I207" s="92">
        <v>50000</v>
      </c>
      <c r="J207" s="92">
        <f t="shared" ref="J207" si="10">SUM(G207*I207)</f>
        <v>50000</v>
      </c>
    </row>
    <row r="208" spans="2:13" ht="15" customHeight="1">
      <c r="B208" s="77"/>
      <c r="C208" s="96">
        <v>3</v>
      </c>
      <c r="D208" s="813" t="s">
        <v>32</v>
      </c>
      <c r="E208" s="813"/>
      <c r="F208" s="813"/>
      <c r="G208" s="519"/>
      <c r="H208" s="519"/>
      <c r="I208" s="97"/>
      <c r="J208" s="98">
        <f>SUM(J209:J226)</f>
        <v>32590800</v>
      </c>
    </row>
    <row r="209" spans="2:10" ht="15" customHeight="1">
      <c r="B209" s="77"/>
      <c r="C209" s="96"/>
      <c r="D209" s="837" t="s">
        <v>628</v>
      </c>
      <c r="E209" s="838"/>
      <c r="F209" s="839"/>
      <c r="G209" s="789">
        <v>60</v>
      </c>
      <c r="H209" s="789" t="s">
        <v>644</v>
      </c>
      <c r="I209" s="92">
        <v>60000</v>
      </c>
      <c r="J209" s="97">
        <f>SUM(G209*I209)</f>
        <v>3600000</v>
      </c>
    </row>
    <row r="210" spans="2:10" ht="15" customHeight="1">
      <c r="B210" s="77"/>
      <c r="C210" s="96"/>
      <c r="D210" s="836" t="s">
        <v>480</v>
      </c>
      <c r="E210" s="836"/>
      <c r="F210" s="836"/>
      <c r="G210" s="789">
        <v>60</v>
      </c>
      <c r="H210" s="789" t="s">
        <v>643</v>
      </c>
      <c r="I210" s="95">
        <v>70000</v>
      </c>
      <c r="J210" s="97">
        <f t="shared" ref="J210:J213" si="11">SUM(G210*I210)</f>
        <v>4200000</v>
      </c>
    </row>
    <row r="211" spans="2:10" ht="15" customHeight="1">
      <c r="B211" s="77"/>
      <c r="C211" s="96"/>
      <c r="D211" s="837" t="s">
        <v>716</v>
      </c>
      <c r="E211" s="838"/>
      <c r="F211" s="839"/>
      <c r="G211" s="789">
        <v>100</v>
      </c>
      <c r="H211" s="789" t="s">
        <v>722</v>
      </c>
      <c r="I211" s="95">
        <v>19000</v>
      </c>
      <c r="J211" s="97">
        <f t="shared" si="11"/>
        <v>1900000</v>
      </c>
    </row>
    <row r="212" spans="2:10" ht="15" customHeight="1">
      <c r="B212" s="77"/>
      <c r="C212" s="96"/>
      <c r="D212" s="837" t="s">
        <v>715</v>
      </c>
      <c r="E212" s="838"/>
      <c r="F212" s="839"/>
      <c r="G212" s="789">
        <v>50</v>
      </c>
      <c r="H212" s="789" t="s">
        <v>699</v>
      </c>
      <c r="I212" s="95">
        <v>27600</v>
      </c>
      <c r="J212" s="97">
        <f t="shared" si="11"/>
        <v>1380000</v>
      </c>
    </row>
    <row r="213" spans="2:10" ht="15" customHeight="1">
      <c r="B213" s="77"/>
      <c r="C213" s="96"/>
      <c r="D213" s="837" t="s">
        <v>719</v>
      </c>
      <c r="E213" s="838"/>
      <c r="F213" s="839"/>
      <c r="G213" s="789">
        <v>10</v>
      </c>
      <c r="H213" s="789" t="s">
        <v>217</v>
      </c>
      <c r="I213" s="95">
        <v>14500</v>
      </c>
      <c r="J213" s="97">
        <f t="shared" si="11"/>
        <v>145000</v>
      </c>
    </row>
    <row r="214" spans="2:10" ht="15" customHeight="1">
      <c r="B214" s="77"/>
      <c r="C214" s="94"/>
      <c r="D214" s="834" t="s">
        <v>700</v>
      </c>
      <c r="E214" s="835"/>
      <c r="F214" s="835"/>
      <c r="G214" s="532">
        <v>8</v>
      </c>
      <c r="H214" s="532" t="s">
        <v>241</v>
      </c>
      <c r="I214" s="97">
        <v>220000</v>
      </c>
      <c r="J214" s="97">
        <f>G214*I214</f>
        <v>1760000</v>
      </c>
    </row>
    <row r="215" spans="2:10" ht="15" customHeight="1">
      <c r="B215" s="77"/>
      <c r="C215" s="94"/>
      <c r="D215" s="902" t="s">
        <v>702</v>
      </c>
      <c r="E215" s="900"/>
      <c r="F215" s="901"/>
      <c r="G215" s="94">
        <v>5</v>
      </c>
      <c r="H215" s="94" t="s">
        <v>241</v>
      </c>
      <c r="I215" s="97">
        <v>232000</v>
      </c>
      <c r="J215" s="97">
        <f t="shared" ref="J215:J226" si="12">G215*I215</f>
        <v>1160000</v>
      </c>
    </row>
    <row r="216" spans="2:10" ht="15" customHeight="1">
      <c r="B216" s="77"/>
      <c r="C216" s="94"/>
      <c r="D216" s="902" t="s">
        <v>701</v>
      </c>
      <c r="E216" s="900"/>
      <c r="F216" s="901"/>
      <c r="G216" s="532">
        <v>4</v>
      </c>
      <c r="H216" s="532" t="s">
        <v>241</v>
      </c>
      <c r="I216" s="97">
        <v>300000</v>
      </c>
      <c r="J216" s="97">
        <f t="shared" si="12"/>
        <v>1200000</v>
      </c>
    </row>
    <row r="217" spans="2:10" ht="15" customHeight="1">
      <c r="B217" s="77"/>
      <c r="C217" s="94"/>
      <c r="D217" s="902" t="s">
        <v>758</v>
      </c>
      <c r="E217" s="900"/>
      <c r="F217" s="901"/>
      <c r="G217" s="532">
        <v>75</v>
      </c>
      <c r="H217" s="532" t="s">
        <v>288</v>
      </c>
      <c r="I217" s="97">
        <v>75000</v>
      </c>
      <c r="J217" s="97">
        <f t="shared" si="12"/>
        <v>5625000</v>
      </c>
    </row>
    <row r="218" spans="2:10" ht="15" customHeight="1">
      <c r="B218" s="77"/>
      <c r="C218" s="94"/>
      <c r="D218" s="902" t="s">
        <v>703</v>
      </c>
      <c r="E218" s="900"/>
      <c r="F218" s="901"/>
      <c r="G218" s="532">
        <v>5000</v>
      </c>
      <c r="H218" s="532" t="s">
        <v>102</v>
      </c>
      <c r="I218" s="97">
        <v>800</v>
      </c>
      <c r="J218" s="97">
        <f t="shared" si="12"/>
        <v>4000000</v>
      </c>
    </row>
    <row r="219" spans="2:10" ht="15" customHeight="1">
      <c r="B219" s="77"/>
      <c r="C219" s="94"/>
      <c r="D219" s="516" t="s">
        <v>708</v>
      </c>
      <c r="E219" s="520"/>
      <c r="F219" s="521"/>
      <c r="G219" s="532">
        <v>4</v>
      </c>
      <c r="H219" s="532" t="s">
        <v>241</v>
      </c>
      <c r="I219" s="97">
        <v>280000</v>
      </c>
      <c r="J219" s="97">
        <f t="shared" si="12"/>
        <v>1120000</v>
      </c>
    </row>
    <row r="220" spans="2:10" ht="15" customHeight="1">
      <c r="B220" s="77"/>
      <c r="C220" s="94"/>
      <c r="D220" s="902" t="s">
        <v>759</v>
      </c>
      <c r="E220" s="900"/>
      <c r="F220" s="901"/>
      <c r="G220" s="532">
        <v>50</v>
      </c>
      <c r="H220" s="618" t="s">
        <v>722</v>
      </c>
      <c r="I220" s="97">
        <v>35900</v>
      </c>
      <c r="J220" s="97">
        <f t="shared" si="12"/>
        <v>1795000</v>
      </c>
    </row>
    <row r="221" spans="2:10" ht="15" customHeight="1">
      <c r="B221" s="77"/>
      <c r="C221" s="94"/>
      <c r="D221" s="902" t="s">
        <v>760</v>
      </c>
      <c r="E221" s="900"/>
      <c r="F221" s="901"/>
      <c r="G221" s="532">
        <v>31</v>
      </c>
      <c r="H221" s="618" t="s">
        <v>722</v>
      </c>
      <c r="I221" s="97">
        <v>51000</v>
      </c>
      <c r="J221" s="97">
        <f t="shared" si="12"/>
        <v>1581000</v>
      </c>
    </row>
    <row r="222" spans="2:10" ht="15" customHeight="1">
      <c r="B222" s="77"/>
      <c r="C222" s="94"/>
      <c r="D222" s="902" t="s">
        <v>761</v>
      </c>
      <c r="E222" s="915"/>
      <c r="F222" s="916"/>
      <c r="G222" s="618">
        <v>16</v>
      </c>
      <c r="H222" s="618" t="s">
        <v>722</v>
      </c>
      <c r="I222" s="97">
        <v>99300</v>
      </c>
      <c r="J222" s="97">
        <f t="shared" si="12"/>
        <v>1588800</v>
      </c>
    </row>
    <row r="223" spans="2:10" ht="15" customHeight="1">
      <c r="B223" s="77"/>
      <c r="C223" s="94"/>
      <c r="D223" s="516" t="s">
        <v>762</v>
      </c>
      <c r="E223" s="520"/>
      <c r="F223" s="521"/>
      <c r="G223" s="532">
        <v>75</v>
      </c>
      <c r="H223" s="532" t="s">
        <v>217</v>
      </c>
      <c r="I223" s="95">
        <v>9200</v>
      </c>
      <c r="J223" s="97">
        <f t="shared" si="12"/>
        <v>690000</v>
      </c>
    </row>
    <row r="224" spans="2:10" ht="15" customHeight="1">
      <c r="B224" s="77"/>
      <c r="C224" s="94"/>
      <c r="D224" s="516" t="s">
        <v>763</v>
      </c>
      <c r="E224" s="520"/>
      <c r="F224" s="521"/>
      <c r="G224" s="532">
        <v>2</v>
      </c>
      <c r="H224" s="532" t="s">
        <v>722</v>
      </c>
      <c r="I224" s="95">
        <v>62750</v>
      </c>
      <c r="J224" s="97">
        <f t="shared" si="12"/>
        <v>125500</v>
      </c>
    </row>
    <row r="225" spans="2:11" ht="15" customHeight="1">
      <c r="B225" s="77"/>
      <c r="C225" s="94"/>
      <c r="D225" s="516" t="s">
        <v>765</v>
      </c>
      <c r="E225" s="520"/>
      <c r="F225" s="521"/>
      <c r="G225" s="532">
        <v>4</v>
      </c>
      <c r="H225" s="532" t="s">
        <v>722</v>
      </c>
      <c r="I225" s="95">
        <v>160000</v>
      </c>
      <c r="J225" s="97">
        <f t="shared" si="12"/>
        <v>640000</v>
      </c>
    </row>
    <row r="226" spans="2:11" ht="15" customHeight="1">
      <c r="B226" s="77"/>
      <c r="C226" s="94"/>
      <c r="D226" s="516" t="s">
        <v>764</v>
      </c>
      <c r="E226" s="520"/>
      <c r="F226" s="521"/>
      <c r="G226" s="532">
        <v>5</v>
      </c>
      <c r="H226" s="532" t="s">
        <v>250</v>
      </c>
      <c r="I226" s="95">
        <v>16100</v>
      </c>
      <c r="J226" s="97">
        <f t="shared" si="12"/>
        <v>80500</v>
      </c>
    </row>
    <row r="227" spans="2:11" ht="15" customHeight="1">
      <c r="B227" s="77"/>
      <c r="C227" s="101"/>
      <c r="D227" s="811" t="s">
        <v>221</v>
      </c>
      <c r="E227" s="811"/>
      <c r="F227" s="811"/>
      <c r="G227" s="812"/>
      <c r="H227" s="812"/>
      <c r="I227" s="102"/>
      <c r="J227" s="265">
        <f>J199</f>
        <v>35837832</v>
      </c>
    </row>
    <row r="228" spans="2:11" ht="15" customHeight="1">
      <c r="B228" s="77"/>
      <c r="C228" s="522"/>
      <c r="D228" s="522"/>
      <c r="E228" s="77"/>
      <c r="F228" s="77"/>
      <c r="G228" s="79"/>
      <c r="H228" s="810" t="s">
        <v>982</v>
      </c>
      <c r="I228" s="810"/>
      <c r="J228" s="810"/>
    </row>
    <row r="229" spans="2:11" ht="15" customHeight="1">
      <c r="B229" s="77"/>
      <c r="C229" s="77"/>
      <c r="D229" s="77"/>
      <c r="E229" s="78" t="s">
        <v>76</v>
      </c>
      <c r="F229" s="78"/>
      <c r="G229" s="79"/>
      <c r="H229" s="810" t="s">
        <v>77</v>
      </c>
      <c r="I229" s="810"/>
      <c r="J229" s="810"/>
    </row>
    <row r="230" spans="2:11" ht="15" customHeight="1">
      <c r="B230" s="77"/>
      <c r="C230" s="77"/>
      <c r="D230" s="810" t="s">
        <v>78</v>
      </c>
      <c r="E230" s="810"/>
      <c r="F230" s="810"/>
      <c r="G230" s="79"/>
      <c r="H230" s="79"/>
      <c r="I230" s="104"/>
      <c r="J230" s="104"/>
    </row>
    <row r="231" spans="2:11" ht="15" customHeight="1">
      <c r="B231" s="77"/>
      <c r="C231" s="522"/>
      <c r="D231" s="522"/>
      <c r="E231" s="522"/>
      <c r="F231" s="522"/>
      <c r="G231" s="79"/>
      <c r="H231" s="79"/>
      <c r="I231" s="80"/>
      <c r="J231" s="80"/>
    </row>
    <row r="232" spans="2:11" ht="15" customHeight="1">
      <c r="B232" s="77"/>
      <c r="C232" s="522"/>
      <c r="D232" s="522"/>
      <c r="E232" s="522"/>
      <c r="F232" s="522"/>
      <c r="G232" s="79"/>
      <c r="H232" s="79"/>
      <c r="I232" s="80"/>
      <c r="J232" s="80"/>
    </row>
    <row r="233" spans="2:11" ht="15" customHeight="1">
      <c r="B233" s="77"/>
      <c r="C233" s="522"/>
      <c r="D233" s="522"/>
      <c r="E233" s="522"/>
      <c r="F233" s="522"/>
      <c r="G233" s="79"/>
      <c r="H233" s="79"/>
      <c r="I233" s="80"/>
      <c r="J233" s="80"/>
    </row>
    <row r="234" spans="2:11" ht="15" customHeight="1">
      <c r="B234" s="77"/>
      <c r="C234" s="522"/>
      <c r="D234" s="522"/>
      <c r="E234" s="78" t="s">
        <v>51</v>
      </c>
      <c r="F234" s="78"/>
      <c r="G234" s="79"/>
      <c r="H234" s="810" t="s">
        <v>428</v>
      </c>
      <c r="I234" s="810"/>
      <c r="J234" s="810"/>
    </row>
    <row r="235" spans="2:11" ht="18" customHeight="1">
      <c r="B235" s="77"/>
      <c r="C235" s="522"/>
      <c r="D235" s="522"/>
      <c r="E235" s="78"/>
      <c r="F235" s="78"/>
      <c r="G235" s="79"/>
      <c r="H235" s="522"/>
      <c r="I235" s="522"/>
      <c r="J235" s="522"/>
      <c r="K235" s="623"/>
    </row>
    <row r="236" spans="2:11" ht="18" customHeight="1">
      <c r="B236" s="824" t="s">
        <v>54</v>
      </c>
      <c r="C236" s="824"/>
      <c r="D236" s="824"/>
      <c r="E236" s="824"/>
      <c r="F236" s="824"/>
      <c r="G236" s="824"/>
      <c r="H236" s="824"/>
      <c r="I236" s="824"/>
      <c r="J236" s="824"/>
    </row>
    <row r="237" spans="2:11" ht="18" customHeight="1">
      <c r="B237" s="824" t="s">
        <v>55</v>
      </c>
      <c r="C237" s="824"/>
      <c r="D237" s="824"/>
      <c r="E237" s="824"/>
      <c r="F237" s="824"/>
      <c r="G237" s="824"/>
      <c r="H237" s="824"/>
      <c r="I237" s="824"/>
      <c r="J237" s="824"/>
    </row>
    <row r="238" spans="2:11" ht="18" customHeight="1">
      <c r="B238" s="824" t="s">
        <v>914</v>
      </c>
      <c r="C238" s="824"/>
      <c r="D238" s="824"/>
      <c r="E238" s="824"/>
      <c r="F238" s="824"/>
      <c r="G238" s="824"/>
      <c r="H238" s="824"/>
      <c r="I238" s="824"/>
      <c r="J238" s="824"/>
    </row>
    <row r="239" spans="2:11" ht="7.5" customHeight="1">
      <c r="B239" s="77"/>
      <c r="C239" s="78"/>
      <c r="D239" s="78"/>
      <c r="E239" s="77"/>
      <c r="F239" s="77"/>
      <c r="G239" s="79"/>
      <c r="H239" s="79"/>
      <c r="I239" s="80"/>
      <c r="J239" s="80"/>
    </row>
    <row r="240" spans="2:11" ht="15.95" customHeight="1">
      <c r="B240" s="78">
        <v>1</v>
      </c>
      <c r="C240" s="249" t="s">
        <v>172</v>
      </c>
      <c r="D240" s="249"/>
      <c r="E240" s="249" t="s">
        <v>474</v>
      </c>
      <c r="F240" s="249"/>
    </row>
    <row r="241" spans="2:12" ht="27" customHeight="1">
      <c r="B241" s="78">
        <v>2</v>
      </c>
      <c r="C241" s="249" t="s">
        <v>173</v>
      </c>
      <c r="D241" s="249"/>
      <c r="E241" s="825" t="s">
        <v>476</v>
      </c>
      <c r="F241" s="825"/>
      <c r="G241" s="825"/>
      <c r="H241" s="825"/>
      <c r="I241" s="825"/>
    </row>
    <row r="242" spans="2:12" ht="15.95" customHeight="1">
      <c r="B242" s="78">
        <v>3</v>
      </c>
      <c r="C242" s="249" t="s">
        <v>174</v>
      </c>
      <c r="D242" s="249"/>
      <c r="E242" s="249" t="s">
        <v>910</v>
      </c>
      <c r="F242" s="249"/>
    </row>
    <row r="243" spans="2:12" ht="18" customHeight="1">
      <c r="B243" s="78">
        <v>4</v>
      </c>
      <c r="C243" s="249" t="s">
        <v>183</v>
      </c>
      <c r="D243" s="249"/>
      <c r="E243" s="249" t="s">
        <v>213</v>
      </c>
      <c r="F243" s="760" t="s">
        <v>999</v>
      </c>
    </row>
    <row r="244" spans="2:12" ht="18" customHeight="1">
      <c r="B244" s="78">
        <v>5</v>
      </c>
      <c r="C244" s="249" t="s">
        <v>184</v>
      </c>
      <c r="D244" s="249"/>
      <c r="E244" s="249" t="s">
        <v>236</v>
      </c>
      <c r="F244" s="251">
        <f>J250</f>
        <v>400314940</v>
      </c>
    </row>
    <row r="245" spans="2:12" ht="18" customHeight="1">
      <c r="B245" s="78">
        <v>6</v>
      </c>
      <c r="C245" s="249" t="s">
        <v>234</v>
      </c>
      <c r="D245" s="249"/>
      <c r="E245" s="249" t="s">
        <v>236</v>
      </c>
      <c r="F245" s="251">
        <f>J250</f>
        <v>400314940</v>
      </c>
    </row>
    <row r="246" spans="2:12" ht="18" customHeight="1">
      <c r="B246" s="78">
        <v>7</v>
      </c>
      <c r="C246" s="249" t="s">
        <v>194</v>
      </c>
      <c r="D246" s="249"/>
      <c r="E246" s="249"/>
      <c r="F246" s="249"/>
      <c r="G246" s="194"/>
    </row>
    <row r="247" spans="2:12" ht="23.25" customHeight="1">
      <c r="B247" s="77"/>
      <c r="C247" s="827" t="s">
        <v>56</v>
      </c>
      <c r="D247" s="828" t="s">
        <v>0</v>
      </c>
      <c r="E247" s="829"/>
      <c r="F247" s="830"/>
      <c r="G247" s="829" t="s">
        <v>57</v>
      </c>
      <c r="H247" s="829"/>
      <c r="I247" s="83" t="s">
        <v>58</v>
      </c>
      <c r="J247" s="83" t="s">
        <v>59</v>
      </c>
    </row>
    <row r="248" spans="2:12" ht="26.25" customHeight="1">
      <c r="B248" s="77"/>
      <c r="C248" s="827"/>
      <c r="D248" s="831"/>
      <c r="E248" s="832"/>
      <c r="F248" s="833"/>
      <c r="G248" s="832"/>
      <c r="H248" s="832"/>
      <c r="I248" s="84" t="s">
        <v>52</v>
      </c>
      <c r="J248" s="84" t="s">
        <v>247</v>
      </c>
    </row>
    <row r="249" spans="2:12" ht="18" customHeight="1">
      <c r="B249" s="77"/>
      <c r="C249" s="526">
        <v>1</v>
      </c>
      <c r="D249" s="814">
        <v>2</v>
      </c>
      <c r="E249" s="815"/>
      <c r="F249" s="816"/>
      <c r="G249" s="815">
        <v>3</v>
      </c>
      <c r="H249" s="815"/>
      <c r="I249" s="85">
        <v>4</v>
      </c>
      <c r="J249" s="85">
        <v>4</v>
      </c>
    </row>
    <row r="250" spans="2:12" ht="30" customHeight="1">
      <c r="B250" s="77"/>
      <c r="C250" s="86" t="s">
        <v>411</v>
      </c>
      <c r="D250" s="943" t="s">
        <v>139</v>
      </c>
      <c r="E250" s="944"/>
      <c r="F250" s="945"/>
      <c r="G250" s="821"/>
      <c r="H250" s="821"/>
      <c r="I250" s="87"/>
      <c r="J250" s="536">
        <f>SUM(J251+J287+J314+J337+J357+J381+J403+J422+J444+J463+J482+J508+J534+J561+J585+J608+J629)</f>
        <v>400314940</v>
      </c>
    </row>
    <row r="251" spans="2:12" ht="25.5" customHeight="1">
      <c r="B251" s="77"/>
      <c r="C251" s="86" t="s">
        <v>415</v>
      </c>
      <c r="D251" s="820" t="s">
        <v>769</v>
      </c>
      <c r="E251" s="820"/>
      <c r="F251" s="820"/>
      <c r="G251" s="933" t="s">
        <v>770</v>
      </c>
      <c r="H251" s="934"/>
      <c r="I251" s="87"/>
      <c r="J251" s="264">
        <f>SUM(J252+J269)</f>
        <v>69895060</v>
      </c>
      <c r="L251" s="82">
        <f>J251*10%</f>
        <v>6989506</v>
      </c>
    </row>
    <row r="252" spans="2:12" ht="15.95" customHeight="1">
      <c r="B252" s="77"/>
      <c r="C252" s="88">
        <v>2</v>
      </c>
      <c r="D252" s="820" t="s">
        <v>34</v>
      </c>
      <c r="E252" s="820"/>
      <c r="F252" s="820"/>
      <c r="G252" s="532" t="s">
        <v>630</v>
      </c>
      <c r="H252" s="532" t="s">
        <v>631</v>
      </c>
      <c r="I252" s="89"/>
      <c r="J252" s="99">
        <f>SUM(J253:J268)</f>
        <v>6471000</v>
      </c>
    </row>
    <row r="253" spans="2:12" ht="15.95" customHeight="1">
      <c r="B253" s="77"/>
      <c r="C253" s="91"/>
      <c r="D253" s="822" t="s">
        <v>214</v>
      </c>
      <c r="E253" s="822"/>
      <c r="F253" s="822"/>
      <c r="G253" s="266">
        <v>1</v>
      </c>
      <c r="H253" s="266" t="s">
        <v>233</v>
      </c>
      <c r="I253" s="92">
        <v>500000</v>
      </c>
      <c r="J253" s="92">
        <f>G253*I253</f>
        <v>500000</v>
      </c>
    </row>
    <row r="254" spans="2:12" ht="18" customHeight="1">
      <c r="B254" s="77"/>
      <c r="C254" s="91"/>
      <c r="D254" s="918" t="s">
        <v>955</v>
      </c>
      <c r="E254" s="823"/>
      <c r="F254" s="925"/>
      <c r="G254" s="942">
        <v>4809000</v>
      </c>
      <c r="H254" s="942"/>
      <c r="I254" s="89"/>
      <c r="J254" s="92"/>
      <c r="K254" s="82">
        <f>J251*7.5%</f>
        <v>5242129.5</v>
      </c>
      <c r="L254" s="791">
        <v>4809000</v>
      </c>
    </row>
    <row r="255" spans="2:12" ht="18" customHeight="1">
      <c r="B255" s="77"/>
      <c r="C255" s="91"/>
      <c r="D255" s="834" t="s">
        <v>956</v>
      </c>
      <c r="E255" s="835"/>
      <c r="F255" s="835"/>
      <c r="G255" s="267">
        <v>1</v>
      </c>
      <c r="H255" s="267" t="s">
        <v>64</v>
      </c>
      <c r="I255" s="92">
        <f>G254*25%</f>
        <v>1202250</v>
      </c>
      <c r="J255" s="92">
        <f>SUM(G255*I255)</f>
        <v>1202250</v>
      </c>
    </row>
    <row r="256" spans="2:12" ht="18" customHeight="1">
      <c r="B256" s="77"/>
      <c r="C256" s="91"/>
      <c r="D256" s="834" t="s">
        <v>957</v>
      </c>
      <c r="E256" s="835"/>
      <c r="F256" s="835"/>
      <c r="G256" s="532">
        <v>1</v>
      </c>
      <c r="H256" s="532" t="s">
        <v>64</v>
      </c>
      <c r="I256" s="92">
        <f>G254*15%</f>
        <v>721350</v>
      </c>
      <c r="J256" s="92">
        <f>SUM(G256*I256)</f>
        <v>721350</v>
      </c>
    </row>
    <row r="257" spans="2:12" ht="18" customHeight="1">
      <c r="B257" s="77"/>
      <c r="C257" s="91"/>
      <c r="D257" s="834" t="s">
        <v>954</v>
      </c>
      <c r="E257" s="835"/>
      <c r="F257" s="835"/>
      <c r="G257" s="532">
        <v>6</v>
      </c>
      <c r="H257" s="532" t="s">
        <v>64</v>
      </c>
      <c r="I257" s="92">
        <f>G254*60%/6</f>
        <v>480900</v>
      </c>
      <c r="J257" s="92">
        <f>SUM(G257*I257)</f>
        <v>2885400</v>
      </c>
    </row>
    <row r="258" spans="2:12" ht="18" customHeight="1">
      <c r="B258" s="77"/>
      <c r="C258" s="91"/>
      <c r="D258" s="899" t="s">
        <v>948</v>
      </c>
      <c r="E258" s="900"/>
      <c r="F258" s="901"/>
      <c r="G258" s="610"/>
      <c r="H258" s="610"/>
      <c r="I258" s="92">
        <v>583000</v>
      </c>
      <c r="J258" s="92"/>
      <c r="K258" s="82">
        <f>J251*1%</f>
        <v>698950.6</v>
      </c>
      <c r="L258" s="82">
        <v>583000</v>
      </c>
    </row>
    <row r="259" spans="2:12" ht="18" customHeight="1">
      <c r="B259" s="77"/>
      <c r="C259" s="91"/>
      <c r="D259" s="902" t="s">
        <v>949</v>
      </c>
      <c r="E259" s="900"/>
      <c r="F259" s="901"/>
      <c r="G259" s="610">
        <v>1</v>
      </c>
      <c r="H259" s="610" t="s">
        <v>64</v>
      </c>
      <c r="I259" s="92">
        <f>I258*35%</f>
        <v>204050</v>
      </c>
      <c r="J259" s="92">
        <f>G259*I259</f>
        <v>204050</v>
      </c>
    </row>
    <row r="260" spans="2:12" ht="18" customHeight="1">
      <c r="B260" s="77"/>
      <c r="C260" s="91"/>
      <c r="D260" s="902" t="s">
        <v>950</v>
      </c>
      <c r="E260" s="900"/>
      <c r="F260" s="901"/>
      <c r="G260" s="610">
        <v>1</v>
      </c>
      <c r="H260" s="610" t="s">
        <v>64</v>
      </c>
      <c r="I260" s="92">
        <f>I258*20%</f>
        <v>116600</v>
      </c>
      <c r="J260" s="92">
        <f t="shared" ref="J260:J262" si="13">G260*I260</f>
        <v>116600</v>
      </c>
    </row>
    <row r="261" spans="2:12" ht="18" customHeight="1">
      <c r="B261" s="77"/>
      <c r="C261" s="91"/>
      <c r="D261" s="902" t="s">
        <v>951</v>
      </c>
      <c r="E261" s="915"/>
      <c r="F261" s="916"/>
      <c r="G261" s="610">
        <v>1</v>
      </c>
      <c r="H261" s="610" t="s">
        <v>64</v>
      </c>
      <c r="I261" s="92">
        <f>I258*15%</f>
        <v>87450</v>
      </c>
      <c r="J261" s="92">
        <f t="shared" si="13"/>
        <v>87450</v>
      </c>
    </row>
    <row r="262" spans="2:12" ht="18" customHeight="1">
      <c r="B262" s="77"/>
      <c r="C262" s="91"/>
      <c r="D262" s="902" t="s">
        <v>952</v>
      </c>
      <c r="E262" s="915"/>
      <c r="F262" s="916"/>
      <c r="G262" s="610">
        <v>3</v>
      </c>
      <c r="H262" s="610" t="s">
        <v>64</v>
      </c>
      <c r="I262" s="92">
        <f>I258*30%/3</f>
        <v>58300</v>
      </c>
      <c r="J262" s="92">
        <f t="shared" si="13"/>
        <v>174900</v>
      </c>
    </row>
    <row r="263" spans="2:12" ht="18" customHeight="1">
      <c r="B263" s="77"/>
      <c r="C263" s="91"/>
      <c r="D263" s="899" t="s">
        <v>953</v>
      </c>
      <c r="E263" s="915"/>
      <c r="F263" s="916"/>
      <c r="G263" s="610"/>
      <c r="H263" s="610"/>
      <c r="I263" s="92">
        <v>292000</v>
      </c>
      <c r="J263" s="92"/>
      <c r="K263" s="82">
        <f>J251*0.5%</f>
        <v>349475.3</v>
      </c>
      <c r="L263" s="82">
        <v>292000</v>
      </c>
    </row>
    <row r="264" spans="2:12" ht="18" customHeight="1">
      <c r="B264" s="77"/>
      <c r="C264" s="91"/>
      <c r="D264" s="902" t="s">
        <v>950</v>
      </c>
      <c r="E264" s="915"/>
      <c r="F264" s="916"/>
      <c r="G264" s="610">
        <v>1</v>
      </c>
      <c r="H264" s="610" t="s">
        <v>64</v>
      </c>
      <c r="I264" s="92">
        <f>I263*40%</f>
        <v>116800</v>
      </c>
      <c r="J264" s="92">
        <f>G264*I264</f>
        <v>116800</v>
      </c>
    </row>
    <row r="265" spans="2:12" ht="18" customHeight="1">
      <c r="B265" s="77"/>
      <c r="C265" s="91"/>
      <c r="D265" s="902" t="s">
        <v>951</v>
      </c>
      <c r="E265" s="915"/>
      <c r="F265" s="916"/>
      <c r="G265" s="610">
        <v>1</v>
      </c>
      <c r="H265" s="610" t="s">
        <v>64</v>
      </c>
      <c r="I265" s="92">
        <f>I263*35%</f>
        <v>102200</v>
      </c>
      <c r="J265" s="92">
        <f t="shared" ref="J265:J266" si="14">G265*I265</f>
        <v>102200</v>
      </c>
    </row>
    <row r="266" spans="2:12" ht="18" customHeight="1">
      <c r="B266" s="77"/>
      <c r="C266" s="91"/>
      <c r="D266" s="902" t="s">
        <v>954</v>
      </c>
      <c r="E266" s="915"/>
      <c r="F266" s="916"/>
      <c r="G266" s="610">
        <v>1</v>
      </c>
      <c r="H266" s="610" t="s">
        <v>64</v>
      </c>
      <c r="I266" s="92">
        <f>I263*25%</f>
        <v>73000</v>
      </c>
      <c r="J266" s="92">
        <f t="shared" si="14"/>
        <v>73000</v>
      </c>
    </row>
    <row r="267" spans="2:12" ht="18" customHeight="1">
      <c r="B267" s="77"/>
      <c r="C267" s="91"/>
      <c r="D267" s="836" t="s">
        <v>215</v>
      </c>
      <c r="E267" s="836"/>
      <c r="F267" s="836"/>
      <c r="G267" s="532">
        <v>1</v>
      </c>
      <c r="H267" s="532" t="s">
        <v>217</v>
      </c>
      <c r="I267" s="92">
        <v>150000</v>
      </c>
      <c r="J267" s="92">
        <f>SUM(G267*I267)</f>
        <v>150000</v>
      </c>
    </row>
    <row r="268" spans="2:12" ht="18" customHeight="1">
      <c r="B268" s="77"/>
      <c r="C268" s="91"/>
      <c r="D268" s="836" t="s">
        <v>216</v>
      </c>
      <c r="E268" s="836"/>
      <c r="F268" s="836"/>
      <c r="G268" s="532">
        <v>1</v>
      </c>
      <c r="H268" s="532" t="s">
        <v>217</v>
      </c>
      <c r="I268" s="92">
        <v>137000</v>
      </c>
      <c r="J268" s="92">
        <f t="shared" ref="J268" si="15">SUM(G268*I268)</f>
        <v>137000</v>
      </c>
    </row>
    <row r="269" spans="2:12" ht="18" customHeight="1">
      <c r="B269" s="77"/>
      <c r="C269" s="96">
        <v>3</v>
      </c>
      <c r="D269" s="813" t="s">
        <v>32</v>
      </c>
      <c r="E269" s="813"/>
      <c r="F269" s="813"/>
      <c r="G269" s="519"/>
      <c r="H269" s="519"/>
      <c r="I269" s="97"/>
      <c r="J269" s="98">
        <f>SUM(J270:J285)</f>
        <v>63424060</v>
      </c>
    </row>
    <row r="270" spans="2:12" ht="18" customHeight="1">
      <c r="B270" s="77"/>
      <c r="C270" s="96"/>
      <c r="D270" s="837" t="s">
        <v>628</v>
      </c>
      <c r="E270" s="838"/>
      <c r="F270" s="839"/>
      <c r="G270" s="789">
        <v>69</v>
      </c>
      <c r="H270" s="789" t="s">
        <v>644</v>
      </c>
      <c r="I270" s="92">
        <v>60000</v>
      </c>
      <c r="J270" s="97">
        <f>SUM(G270*I270)</f>
        <v>4140000</v>
      </c>
      <c r="K270" s="82">
        <f>SUM(J270:J273)</f>
        <v>10612800</v>
      </c>
      <c r="L270" s="82">
        <f>SUM(J269-K270)</f>
        <v>52811260</v>
      </c>
    </row>
    <row r="271" spans="2:12" ht="18" customHeight="1">
      <c r="B271" s="77"/>
      <c r="C271" s="96"/>
      <c r="D271" s="836" t="s">
        <v>642</v>
      </c>
      <c r="E271" s="836"/>
      <c r="F271" s="836"/>
      <c r="G271" s="789">
        <v>18</v>
      </c>
      <c r="H271" s="789" t="s">
        <v>644</v>
      </c>
      <c r="I271" s="95">
        <v>70000</v>
      </c>
      <c r="J271" s="97">
        <f t="shared" ref="J271:J277" si="16">SUM(G271*I271)</f>
        <v>1260000</v>
      </c>
    </row>
    <row r="272" spans="2:12" ht="18" customHeight="1">
      <c r="B272" s="77"/>
      <c r="C272" s="96"/>
      <c r="D272" s="837" t="s">
        <v>773</v>
      </c>
      <c r="E272" s="838"/>
      <c r="F272" s="839"/>
      <c r="G272" s="789">
        <v>72</v>
      </c>
      <c r="H272" s="789" t="s">
        <v>644</v>
      </c>
      <c r="I272" s="95">
        <v>60000</v>
      </c>
      <c r="J272" s="97">
        <f t="shared" si="16"/>
        <v>4320000</v>
      </c>
    </row>
    <row r="273" spans="2:12" ht="18" customHeight="1">
      <c r="B273" s="77"/>
      <c r="C273" s="96"/>
      <c r="D273" s="837" t="s">
        <v>777</v>
      </c>
      <c r="E273" s="838"/>
      <c r="F273" s="839"/>
      <c r="G273" s="789">
        <v>14.88</v>
      </c>
      <c r="H273" s="789" t="s">
        <v>644</v>
      </c>
      <c r="I273" s="95">
        <v>60000</v>
      </c>
      <c r="J273" s="97">
        <f t="shared" si="16"/>
        <v>892800</v>
      </c>
    </row>
    <row r="274" spans="2:12" ht="18" customHeight="1">
      <c r="B274" s="77"/>
      <c r="C274" s="96"/>
      <c r="D274" s="837" t="s">
        <v>720</v>
      </c>
      <c r="E274" s="838"/>
      <c r="F274" s="839"/>
      <c r="G274" s="789">
        <v>2</v>
      </c>
      <c r="H274" s="789" t="s">
        <v>217</v>
      </c>
      <c r="I274" s="95">
        <v>75000</v>
      </c>
      <c r="J274" s="97">
        <f t="shared" si="16"/>
        <v>150000</v>
      </c>
    </row>
    <row r="275" spans="2:12" ht="18" customHeight="1">
      <c r="B275" s="77"/>
      <c r="C275" s="96"/>
      <c r="D275" s="837" t="s">
        <v>750</v>
      </c>
      <c r="E275" s="838"/>
      <c r="F275" s="839"/>
      <c r="G275" s="789">
        <v>3</v>
      </c>
      <c r="H275" s="789" t="s">
        <v>217</v>
      </c>
      <c r="I275" s="95">
        <v>25000</v>
      </c>
      <c r="J275" s="97">
        <f t="shared" si="16"/>
        <v>75000</v>
      </c>
    </row>
    <row r="276" spans="2:12" ht="18" customHeight="1">
      <c r="B276" s="77"/>
      <c r="C276" s="96"/>
      <c r="D276" s="837" t="s">
        <v>719</v>
      </c>
      <c r="E276" s="838"/>
      <c r="F276" s="839"/>
      <c r="G276" s="789">
        <v>5</v>
      </c>
      <c r="H276" s="789" t="s">
        <v>217</v>
      </c>
      <c r="I276" s="95">
        <v>14500</v>
      </c>
      <c r="J276" s="97">
        <f t="shared" si="16"/>
        <v>72500</v>
      </c>
    </row>
    <row r="277" spans="2:12" ht="18" customHeight="1">
      <c r="B277" s="77"/>
      <c r="C277" s="96"/>
      <c r="D277" s="837" t="s">
        <v>715</v>
      </c>
      <c r="E277" s="838"/>
      <c r="F277" s="839"/>
      <c r="G277" s="789">
        <v>40</v>
      </c>
      <c r="H277" s="789" t="s">
        <v>699</v>
      </c>
      <c r="I277" s="95">
        <v>27600</v>
      </c>
      <c r="J277" s="97">
        <f t="shared" si="16"/>
        <v>1104000</v>
      </c>
    </row>
    <row r="278" spans="2:12" ht="18" customHeight="1">
      <c r="B278" s="77"/>
      <c r="C278" s="94"/>
      <c r="D278" s="834" t="s">
        <v>774</v>
      </c>
      <c r="E278" s="835"/>
      <c r="F278" s="835"/>
      <c r="G278" s="532">
        <v>480</v>
      </c>
      <c r="H278" s="532" t="s">
        <v>217</v>
      </c>
      <c r="I278" s="97">
        <v>45000</v>
      </c>
      <c r="J278" s="97">
        <f>G278*I278</f>
        <v>21600000</v>
      </c>
    </row>
    <row r="279" spans="2:12" ht="18" customHeight="1">
      <c r="B279" s="77"/>
      <c r="C279" s="94"/>
      <c r="D279" s="834" t="s">
        <v>703</v>
      </c>
      <c r="E279" s="835"/>
      <c r="F279" s="835"/>
      <c r="G279" s="94">
        <v>1452</v>
      </c>
      <c r="H279" s="94" t="s">
        <v>102</v>
      </c>
      <c r="I279" s="97">
        <v>800</v>
      </c>
      <c r="J279" s="97">
        <f t="shared" ref="J279:J285" si="17">G279*I279</f>
        <v>1161600</v>
      </c>
    </row>
    <row r="280" spans="2:12" ht="18" customHeight="1">
      <c r="B280" s="77"/>
      <c r="C280" s="94"/>
      <c r="D280" s="834" t="s">
        <v>700</v>
      </c>
      <c r="E280" s="835"/>
      <c r="F280" s="835"/>
      <c r="G280" s="532">
        <v>2</v>
      </c>
      <c r="H280" s="532" t="s">
        <v>241</v>
      </c>
      <c r="I280" s="97">
        <v>220000</v>
      </c>
      <c r="J280" s="97">
        <f t="shared" si="17"/>
        <v>440000</v>
      </c>
    </row>
    <row r="281" spans="2:12" ht="18" customHeight="1">
      <c r="B281" s="77"/>
      <c r="C281" s="94"/>
      <c r="D281" s="834" t="s">
        <v>758</v>
      </c>
      <c r="E281" s="835"/>
      <c r="F281" s="835"/>
      <c r="G281" s="532">
        <v>157</v>
      </c>
      <c r="H281" s="532" t="s">
        <v>288</v>
      </c>
      <c r="I281" s="97">
        <v>75000</v>
      </c>
      <c r="J281" s="97">
        <f t="shared" si="17"/>
        <v>11775000</v>
      </c>
    </row>
    <row r="282" spans="2:12" ht="18" customHeight="1">
      <c r="B282" s="77"/>
      <c r="C282" s="94"/>
      <c r="D282" s="834" t="s">
        <v>701</v>
      </c>
      <c r="E282" s="835"/>
      <c r="F282" s="835"/>
      <c r="G282" s="532">
        <v>15.49</v>
      </c>
      <c r="H282" s="532" t="s">
        <v>241</v>
      </c>
      <c r="I282" s="97">
        <v>300000</v>
      </c>
      <c r="J282" s="97">
        <f t="shared" si="17"/>
        <v>4647000</v>
      </c>
    </row>
    <row r="283" spans="2:12" ht="18" customHeight="1">
      <c r="B283" s="77"/>
      <c r="C283" s="94"/>
      <c r="D283" s="902" t="s">
        <v>708</v>
      </c>
      <c r="E283" s="900"/>
      <c r="F283" s="901"/>
      <c r="G283" s="532">
        <v>26</v>
      </c>
      <c r="H283" s="532" t="s">
        <v>241</v>
      </c>
      <c r="I283" s="97">
        <v>280000</v>
      </c>
      <c r="J283" s="97">
        <f t="shared" si="17"/>
        <v>7280000</v>
      </c>
    </row>
    <row r="284" spans="2:12" ht="18" customHeight="1">
      <c r="B284" s="77"/>
      <c r="C284" s="94"/>
      <c r="D284" s="902" t="s">
        <v>775</v>
      </c>
      <c r="E284" s="900"/>
      <c r="F284" s="901"/>
      <c r="G284" s="532">
        <v>96</v>
      </c>
      <c r="H284" s="532" t="s">
        <v>485</v>
      </c>
      <c r="I284" s="97">
        <v>46000</v>
      </c>
      <c r="J284" s="97">
        <f t="shared" si="17"/>
        <v>4416000</v>
      </c>
    </row>
    <row r="285" spans="2:12" ht="18" customHeight="1">
      <c r="B285" s="77"/>
      <c r="C285" s="94"/>
      <c r="D285" s="902" t="s">
        <v>776</v>
      </c>
      <c r="E285" s="900"/>
      <c r="F285" s="901"/>
      <c r="G285" s="252">
        <v>5.6</v>
      </c>
      <c r="H285" s="532" t="s">
        <v>250</v>
      </c>
      <c r="I285" s="97">
        <v>16100</v>
      </c>
      <c r="J285" s="97">
        <f t="shared" si="17"/>
        <v>90160</v>
      </c>
    </row>
    <row r="286" spans="2:12" ht="18" customHeight="1">
      <c r="B286" s="77"/>
      <c r="C286" s="101"/>
      <c r="D286" s="811" t="s">
        <v>221</v>
      </c>
      <c r="E286" s="811"/>
      <c r="F286" s="811"/>
      <c r="G286" s="812"/>
      <c r="H286" s="812"/>
      <c r="I286" s="102"/>
      <c r="J286" s="102">
        <f>J251</f>
        <v>69895060</v>
      </c>
    </row>
    <row r="287" spans="2:12" ht="28.5" customHeight="1">
      <c r="B287"/>
      <c r="C287" s="200" t="s">
        <v>429</v>
      </c>
      <c r="D287" s="820" t="s">
        <v>560</v>
      </c>
      <c r="E287" s="820"/>
      <c r="F287" s="820"/>
      <c r="G287" s="821"/>
      <c r="H287" s="821"/>
      <c r="I287" s="87"/>
      <c r="J287" s="264">
        <f>SUM(J288+J296)</f>
        <v>18856600</v>
      </c>
      <c r="L287" s="82">
        <f>J287*10%</f>
        <v>1885660</v>
      </c>
    </row>
    <row r="288" spans="2:12" ht="18" customHeight="1">
      <c r="B288"/>
      <c r="C288" s="88">
        <v>2</v>
      </c>
      <c r="D288" s="820" t="s">
        <v>34</v>
      </c>
      <c r="E288" s="820"/>
      <c r="F288" s="820"/>
      <c r="G288" s="532" t="s">
        <v>630</v>
      </c>
      <c r="H288" s="532" t="s">
        <v>631</v>
      </c>
      <c r="I288" s="533" t="s">
        <v>825</v>
      </c>
      <c r="J288" s="99">
        <f>SUM(J289:J295)</f>
        <v>2015000</v>
      </c>
    </row>
    <row r="289" spans="2:12" ht="15.95" customHeight="1">
      <c r="B289"/>
      <c r="C289" s="91"/>
      <c r="D289" s="822" t="s">
        <v>214</v>
      </c>
      <c r="E289" s="822"/>
      <c r="F289" s="822"/>
      <c r="G289" s="532">
        <v>1</v>
      </c>
      <c r="H289" s="532" t="s">
        <v>403</v>
      </c>
      <c r="I289" s="92">
        <v>500000</v>
      </c>
      <c r="J289" s="92">
        <f>G289*I289</f>
        <v>500000</v>
      </c>
    </row>
    <row r="290" spans="2:12" ht="15.95" customHeight="1">
      <c r="B290"/>
      <c r="C290" s="91"/>
      <c r="D290" s="823" t="s">
        <v>41</v>
      </c>
      <c r="E290" s="823"/>
      <c r="F290" s="823"/>
      <c r="G290" s="937">
        <v>1315000</v>
      </c>
      <c r="H290" s="937"/>
      <c r="I290" s="92"/>
      <c r="J290" s="92"/>
      <c r="K290" s="82">
        <f>J287*7.5%</f>
        <v>1414245</v>
      </c>
      <c r="L290" s="82">
        <v>1315620</v>
      </c>
    </row>
    <row r="291" spans="2:12" ht="15.95" customHeight="1">
      <c r="B291"/>
      <c r="C291" s="91"/>
      <c r="D291" s="835" t="s">
        <v>207</v>
      </c>
      <c r="E291" s="835"/>
      <c r="F291" s="835"/>
      <c r="G291" s="532">
        <v>1</v>
      </c>
      <c r="H291" s="532" t="s">
        <v>64</v>
      </c>
      <c r="I291" s="92">
        <f>G290*25%</f>
        <v>328750</v>
      </c>
      <c r="J291" s="92">
        <f>SUM(G291*I291)</f>
        <v>328750</v>
      </c>
    </row>
    <row r="292" spans="2:12" ht="15.95" customHeight="1">
      <c r="B292"/>
      <c r="C292" s="91"/>
      <c r="D292" s="835" t="s">
        <v>695</v>
      </c>
      <c r="E292" s="835"/>
      <c r="F292" s="835"/>
      <c r="G292" s="532">
        <v>1</v>
      </c>
      <c r="H292" s="532" t="s">
        <v>64</v>
      </c>
      <c r="I292" s="92">
        <f>G290*15%</f>
        <v>197250</v>
      </c>
      <c r="J292" s="92">
        <f>SUM(G292*I292)</f>
        <v>197250</v>
      </c>
    </row>
    <row r="293" spans="2:12" ht="18" customHeight="1">
      <c r="B293"/>
      <c r="C293" s="91"/>
      <c r="D293" s="835" t="s">
        <v>70</v>
      </c>
      <c r="E293" s="835"/>
      <c r="F293" s="835"/>
      <c r="G293" s="532">
        <v>6</v>
      </c>
      <c r="H293" s="532" t="s">
        <v>64</v>
      </c>
      <c r="I293" s="92">
        <f>G290*60%/6</f>
        <v>131500</v>
      </c>
      <c r="J293" s="92">
        <f>SUM(G293*I293)</f>
        <v>789000</v>
      </c>
    </row>
    <row r="294" spans="2:12" ht="18" customHeight="1">
      <c r="B294"/>
      <c r="C294" s="91"/>
      <c r="D294" s="836" t="s">
        <v>215</v>
      </c>
      <c r="E294" s="836"/>
      <c r="F294" s="836"/>
      <c r="G294" s="532">
        <v>1</v>
      </c>
      <c r="H294" s="532" t="s">
        <v>217</v>
      </c>
      <c r="I294" s="92">
        <v>150000</v>
      </c>
      <c r="J294" s="92">
        <f t="shared" ref="J294:J295" si="18">SUM(G294*I294)</f>
        <v>150000</v>
      </c>
    </row>
    <row r="295" spans="2:12" ht="18" customHeight="1">
      <c r="B295"/>
      <c r="C295" s="91"/>
      <c r="D295" s="836" t="s">
        <v>216</v>
      </c>
      <c r="E295" s="836"/>
      <c r="F295" s="836"/>
      <c r="G295" s="532">
        <v>1</v>
      </c>
      <c r="H295" s="532" t="s">
        <v>217</v>
      </c>
      <c r="I295" s="92">
        <v>50000</v>
      </c>
      <c r="J295" s="92">
        <f t="shared" si="18"/>
        <v>50000</v>
      </c>
    </row>
    <row r="296" spans="2:12" ht="24.75" customHeight="1">
      <c r="B296"/>
      <c r="C296" s="96">
        <v>3</v>
      </c>
      <c r="D296" s="813" t="s">
        <v>32</v>
      </c>
      <c r="E296" s="813"/>
      <c r="F296" s="813"/>
      <c r="G296" s="519"/>
      <c r="H296" s="519"/>
      <c r="I296" s="97"/>
      <c r="J296" s="98">
        <f>SUM(J297:J312)</f>
        <v>16841600</v>
      </c>
      <c r="K296" s="623">
        <v>827600</v>
      </c>
    </row>
    <row r="297" spans="2:12" ht="18" customHeight="1">
      <c r="B297"/>
      <c r="C297" s="96"/>
      <c r="D297" s="837" t="s">
        <v>628</v>
      </c>
      <c r="E297" s="838"/>
      <c r="F297" s="839"/>
      <c r="G297" s="789">
        <v>72</v>
      </c>
      <c r="H297" s="789" t="s">
        <v>644</v>
      </c>
      <c r="I297" s="92">
        <v>60000</v>
      </c>
      <c r="J297" s="97">
        <f>G297*I297</f>
        <v>4320000</v>
      </c>
    </row>
    <row r="298" spans="2:12" ht="18" customHeight="1">
      <c r="B298"/>
      <c r="C298" s="96"/>
      <c r="D298" s="836" t="s">
        <v>642</v>
      </c>
      <c r="E298" s="836"/>
      <c r="F298" s="836"/>
      <c r="G298" s="789">
        <v>45</v>
      </c>
      <c r="H298" s="789" t="s">
        <v>644</v>
      </c>
      <c r="I298" s="95">
        <v>70000</v>
      </c>
      <c r="J298" s="97">
        <f t="shared" ref="J298:J303" si="19">G298*I298</f>
        <v>3150000</v>
      </c>
    </row>
    <row r="299" spans="2:12" ht="18" customHeight="1">
      <c r="B299"/>
      <c r="C299" s="96"/>
      <c r="D299" s="837" t="s">
        <v>408</v>
      </c>
      <c r="E299" s="838"/>
      <c r="F299" s="839"/>
      <c r="G299" s="789">
        <v>8.1</v>
      </c>
      <c r="H299" s="789" t="s">
        <v>644</v>
      </c>
      <c r="I299" s="95">
        <v>60000</v>
      </c>
      <c r="J299" s="97">
        <f t="shared" si="19"/>
        <v>486000</v>
      </c>
    </row>
    <row r="300" spans="2:12" ht="18" customHeight="1">
      <c r="B300"/>
      <c r="C300" s="96"/>
      <c r="D300" s="837" t="s">
        <v>779</v>
      </c>
      <c r="E300" s="838"/>
      <c r="F300" s="839"/>
      <c r="G300" s="789">
        <v>5</v>
      </c>
      <c r="H300" s="789" t="s">
        <v>699</v>
      </c>
      <c r="I300" s="95">
        <v>27600</v>
      </c>
      <c r="J300" s="97">
        <f t="shared" si="19"/>
        <v>138000</v>
      </c>
    </row>
    <row r="301" spans="2:12" ht="18" customHeight="1">
      <c r="B301"/>
      <c r="C301" s="96"/>
      <c r="D301" s="837" t="s">
        <v>780</v>
      </c>
      <c r="E301" s="838"/>
      <c r="F301" s="839"/>
      <c r="G301" s="789">
        <v>2</v>
      </c>
      <c r="H301" s="789" t="s">
        <v>217</v>
      </c>
      <c r="I301" s="95">
        <v>3500</v>
      </c>
      <c r="J301" s="97">
        <f t="shared" si="19"/>
        <v>7000</v>
      </c>
    </row>
    <row r="302" spans="2:12" ht="18" customHeight="1">
      <c r="B302"/>
      <c r="C302" s="96"/>
      <c r="D302" s="837" t="s">
        <v>719</v>
      </c>
      <c r="E302" s="838"/>
      <c r="F302" s="839"/>
      <c r="G302" s="789">
        <v>5</v>
      </c>
      <c r="H302" s="789" t="s">
        <v>217</v>
      </c>
      <c r="I302" s="95">
        <v>14500</v>
      </c>
      <c r="J302" s="97">
        <f t="shared" si="19"/>
        <v>72500</v>
      </c>
    </row>
    <row r="303" spans="2:12" ht="18" customHeight="1">
      <c r="B303"/>
      <c r="C303" s="96"/>
      <c r="D303" s="837" t="s">
        <v>750</v>
      </c>
      <c r="E303" s="838"/>
      <c r="F303" s="839"/>
      <c r="G303" s="789">
        <v>2</v>
      </c>
      <c r="H303" s="789" t="s">
        <v>217</v>
      </c>
      <c r="I303" s="95">
        <v>25000</v>
      </c>
      <c r="J303" s="97">
        <f t="shared" si="19"/>
        <v>50000</v>
      </c>
    </row>
    <row r="304" spans="2:12" ht="18" customHeight="1">
      <c r="B304"/>
      <c r="C304" s="94"/>
      <c r="D304" s="834" t="s">
        <v>781</v>
      </c>
      <c r="E304" s="835"/>
      <c r="F304" s="835"/>
      <c r="G304" s="532">
        <v>44</v>
      </c>
      <c r="H304" s="532" t="s">
        <v>217</v>
      </c>
      <c r="I304" s="97">
        <v>45000</v>
      </c>
      <c r="J304" s="97">
        <f>G304*I304</f>
        <v>1980000</v>
      </c>
      <c r="L304" s="82" t="s">
        <v>323</v>
      </c>
    </row>
    <row r="305" spans="2:12" ht="18" customHeight="1">
      <c r="B305"/>
      <c r="C305" s="94"/>
      <c r="D305" s="834" t="s">
        <v>700</v>
      </c>
      <c r="E305" s="835"/>
      <c r="F305" s="835"/>
      <c r="G305" s="94">
        <v>5</v>
      </c>
      <c r="H305" s="94" t="s">
        <v>241</v>
      </c>
      <c r="I305" s="97">
        <v>220000</v>
      </c>
      <c r="J305" s="97">
        <f t="shared" ref="J305:J312" si="20">G305*I305</f>
        <v>1100000</v>
      </c>
      <c r="L305" s="82" t="s">
        <v>743</v>
      </c>
    </row>
    <row r="306" spans="2:12" ht="18" customHeight="1">
      <c r="B306"/>
      <c r="C306" s="94"/>
      <c r="D306" s="835" t="s">
        <v>782</v>
      </c>
      <c r="E306" s="835"/>
      <c r="F306" s="835"/>
      <c r="G306" s="532">
        <v>3</v>
      </c>
      <c r="H306" s="532" t="s">
        <v>241</v>
      </c>
      <c r="I306" s="97">
        <v>220000</v>
      </c>
      <c r="J306" s="97">
        <f t="shared" si="20"/>
        <v>660000</v>
      </c>
      <c r="L306" s="82" t="s">
        <v>771</v>
      </c>
    </row>
    <row r="307" spans="2:12" ht="18" customHeight="1">
      <c r="B307"/>
      <c r="C307" s="94"/>
      <c r="D307" s="834" t="s">
        <v>701</v>
      </c>
      <c r="E307" s="835"/>
      <c r="F307" s="835"/>
      <c r="G307" s="532">
        <v>1</v>
      </c>
      <c r="H307" s="532" t="s">
        <v>241</v>
      </c>
      <c r="I307" s="97">
        <v>300000</v>
      </c>
      <c r="J307" s="97">
        <f t="shared" si="20"/>
        <v>300000</v>
      </c>
      <c r="L307" s="82" t="s">
        <v>744</v>
      </c>
    </row>
    <row r="308" spans="2:12" ht="18" customHeight="1">
      <c r="B308"/>
      <c r="C308" s="94"/>
      <c r="D308" s="834" t="s">
        <v>758</v>
      </c>
      <c r="E308" s="835"/>
      <c r="F308" s="835"/>
      <c r="G308" s="532">
        <v>50</v>
      </c>
      <c r="H308" s="532" t="s">
        <v>288</v>
      </c>
      <c r="I308" s="97">
        <v>75000</v>
      </c>
      <c r="J308" s="97">
        <f t="shared" si="20"/>
        <v>3750000</v>
      </c>
      <c r="L308" s="82" t="s">
        <v>290</v>
      </c>
    </row>
    <row r="309" spans="2:12" ht="18" customHeight="1">
      <c r="B309"/>
      <c r="C309" s="94"/>
      <c r="D309" s="902" t="s">
        <v>708</v>
      </c>
      <c r="E309" s="900"/>
      <c r="F309" s="901"/>
      <c r="G309" s="252">
        <v>1.1000000000000001</v>
      </c>
      <c r="H309" s="532" t="s">
        <v>241</v>
      </c>
      <c r="I309" s="97">
        <v>280000</v>
      </c>
      <c r="J309" s="97">
        <f t="shared" si="20"/>
        <v>308000</v>
      </c>
      <c r="L309" s="82" t="s">
        <v>287</v>
      </c>
    </row>
    <row r="310" spans="2:12" ht="18" customHeight="1">
      <c r="B310"/>
      <c r="C310" s="94"/>
      <c r="D310" s="902" t="s">
        <v>703</v>
      </c>
      <c r="E310" s="900"/>
      <c r="F310" s="901"/>
      <c r="G310" s="532">
        <v>480</v>
      </c>
      <c r="H310" s="532" t="s">
        <v>217</v>
      </c>
      <c r="I310" s="97">
        <v>800</v>
      </c>
      <c r="J310" s="97">
        <f t="shared" si="20"/>
        <v>384000</v>
      </c>
      <c r="L310" s="82" t="s">
        <v>772</v>
      </c>
    </row>
    <row r="311" spans="2:12" ht="18" customHeight="1">
      <c r="B311"/>
      <c r="C311" s="94"/>
      <c r="D311" s="902" t="s">
        <v>775</v>
      </c>
      <c r="E311" s="900"/>
      <c r="F311" s="901"/>
      <c r="G311" s="532">
        <v>2</v>
      </c>
      <c r="H311" s="532" t="s">
        <v>722</v>
      </c>
      <c r="I311" s="97">
        <v>60000</v>
      </c>
      <c r="J311" s="97">
        <f t="shared" si="20"/>
        <v>120000</v>
      </c>
    </row>
    <row r="312" spans="2:12" ht="18" customHeight="1">
      <c r="B312"/>
      <c r="C312" s="94"/>
      <c r="D312" s="902" t="s">
        <v>764</v>
      </c>
      <c r="E312" s="915"/>
      <c r="F312" s="916"/>
      <c r="G312" s="532">
        <v>1</v>
      </c>
      <c r="H312" s="532" t="s">
        <v>250</v>
      </c>
      <c r="I312" s="97">
        <v>16100</v>
      </c>
      <c r="J312" s="97">
        <f t="shared" si="20"/>
        <v>16100</v>
      </c>
    </row>
    <row r="313" spans="2:12" ht="18" customHeight="1">
      <c r="B313"/>
      <c r="C313" s="101"/>
      <c r="D313" s="811" t="s">
        <v>221</v>
      </c>
      <c r="E313" s="811"/>
      <c r="F313" s="811"/>
      <c r="G313" s="812"/>
      <c r="H313" s="812"/>
      <c r="I313" s="102"/>
      <c r="J313" s="109">
        <f>J287</f>
        <v>18856600</v>
      </c>
    </row>
    <row r="314" spans="2:12" ht="24.75" customHeight="1">
      <c r="B314"/>
      <c r="C314" s="200" t="s">
        <v>430</v>
      </c>
      <c r="D314" s="820" t="s">
        <v>911</v>
      </c>
      <c r="E314" s="820"/>
      <c r="F314" s="820"/>
      <c r="G314" s="821" t="s">
        <v>783</v>
      </c>
      <c r="H314" s="821"/>
      <c r="I314" s="87"/>
      <c r="J314" s="264">
        <f>SUM(J315+J323)</f>
        <v>59326500</v>
      </c>
    </row>
    <row r="315" spans="2:12" ht="18" customHeight="1">
      <c r="B315"/>
      <c r="C315" s="88">
        <v>2</v>
      </c>
      <c r="D315" s="820" t="s">
        <v>34</v>
      </c>
      <c r="E315" s="820"/>
      <c r="F315" s="820"/>
      <c r="G315" s="532" t="s">
        <v>630</v>
      </c>
      <c r="H315" s="532" t="s">
        <v>631</v>
      </c>
      <c r="I315" s="533" t="s">
        <v>912</v>
      </c>
      <c r="J315" s="99">
        <f>SUM(J316:J322)</f>
        <v>4839000</v>
      </c>
      <c r="K315" s="82">
        <f>SUM(J314*10%)</f>
        <v>5932650</v>
      </c>
    </row>
    <row r="316" spans="2:12" ht="18" customHeight="1">
      <c r="B316"/>
      <c r="C316" s="91"/>
      <c r="D316" s="822" t="s">
        <v>214</v>
      </c>
      <c r="E316" s="822"/>
      <c r="F316" s="822"/>
      <c r="G316" s="532">
        <v>1</v>
      </c>
      <c r="H316" s="532" t="s">
        <v>233</v>
      </c>
      <c r="I316" s="92">
        <v>500000</v>
      </c>
      <c r="J316" s="92">
        <f>G316*I316</f>
        <v>500000</v>
      </c>
    </row>
    <row r="317" spans="2:12" ht="18" customHeight="1">
      <c r="B317"/>
      <c r="C317" s="91"/>
      <c r="D317" s="918" t="s">
        <v>955</v>
      </c>
      <c r="E317" s="823"/>
      <c r="F317" s="823"/>
      <c r="G317" s="937">
        <v>4139000</v>
      </c>
      <c r="H317" s="937"/>
      <c r="I317" s="92"/>
      <c r="J317" s="92"/>
      <c r="K317" s="82">
        <f>J314*7.5%</f>
        <v>4449487.5</v>
      </c>
      <c r="L317" s="791">
        <v>4139000</v>
      </c>
    </row>
    <row r="318" spans="2:12" ht="18" customHeight="1">
      <c r="B318"/>
      <c r="C318" s="91"/>
      <c r="D318" s="834" t="s">
        <v>956</v>
      </c>
      <c r="E318" s="835"/>
      <c r="F318" s="835"/>
      <c r="G318" s="532">
        <v>1</v>
      </c>
      <c r="H318" s="532" t="s">
        <v>64</v>
      </c>
      <c r="I318" s="92">
        <f>G317*25%</f>
        <v>1034750</v>
      </c>
      <c r="J318" s="92">
        <f>SUM(G318*I318)</f>
        <v>1034750</v>
      </c>
    </row>
    <row r="319" spans="2:12" ht="18" customHeight="1">
      <c r="B319"/>
      <c r="C319" s="91"/>
      <c r="D319" s="834" t="s">
        <v>957</v>
      </c>
      <c r="E319" s="835"/>
      <c r="F319" s="835"/>
      <c r="G319" s="532">
        <v>1</v>
      </c>
      <c r="H319" s="532" t="s">
        <v>64</v>
      </c>
      <c r="I319" s="92">
        <f>G317*15%</f>
        <v>620850</v>
      </c>
      <c r="J319" s="92">
        <f>SUM(G319*I319)</f>
        <v>620850</v>
      </c>
    </row>
    <row r="320" spans="2:12" ht="18" customHeight="1">
      <c r="B320"/>
      <c r="C320" s="91"/>
      <c r="D320" s="834" t="s">
        <v>954</v>
      </c>
      <c r="E320" s="835"/>
      <c r="F320" s="835"/>
      <c r="G320" s="532">
        <v>6</v>
      </c>
      <c r="H320" s="532" t="s">
        <v>64</v>
      </c>
      <c r="I320" s="92">
        <f>G317*60%/6</f>
        <v>413900</v>
      </c>
      <c r="J320" s="92">
        <f>SUM(G320*I320)</f>
        <v>2483400</v>
      </c>
    </row>
    <row r="321" spans="2:14" ht="18" customHeight="1">
      <c r="B321"/>
      <c r="C321" s="91"/>
      <c r="D321" s="836" t="s">
        <v>215</v>
      </c>
      <c r="E321" s="836"/>
      <c r="F321" s="836"/>
      <c r="G321" s="532">
        <v>1</v>
      </c>
      <c r="H321" s="532" t="s">
        <v>233</v>
      </c>
      <c r="I321" s="92">
        <v>150000</v>
      </c>
      <c r="J321" s="92">
        <f t="shared" ref="J321:J322" si="21">SUM(G321*I321)</f>
        <v>150000</v>
      </c>
      <c r="L321" s="82">
        <f>600*0.2</f>
        <v>120</v>
      </c>
      <c r="M321" s="82">
        <v>70</v>
      </c>
      <c r="N321" s="82">
        <f>L321*M321</f>
        <v>8400</v>
      </c>
    </row>
    <row r="322" spans="2:14" ht="18" customHeight="1">
      <c r="B322"/>
      <c r="C322" s="91"/>
      <c r="D322" s="836" t="s">
        <v>216</v>
      </c>
      <c r="E322" s="836"/>
      <c r="F322" s="836"/>
      <c r="G322" s="532">
        <v>1</v>
      </c>
      <c r="H322" s="532" t="s">
        <v>217</v>
      </c>
      <c r="I322" s="92">
        <v>50000</v>
      </c>
      <c r="J322" s="92">
        <f t="shared" si="21"/>
        <v>50000</v>
      </c>
      <c r="L322" s="82">
        <f>12/0.2</f>
        <v>60</v>
      </c>
      <c r="M322" s="82" t="s">
        <v>297</v>
      </c>
    </row>
    <row r="323" spans="2:14" ht="18" customHeight="1">
      <c r="B323"/>
      <c r="C323" s="96">
        <v>3</v>
      </c>
      <c r="D323" s="813" t="s">
        <v>32</v>
      </c>
      <c r="E323" s="813"/>
      <c r="F323" s="813"/>
      <c r="G323" s="519"/>
      <c r="H323" s="519"/>
      <c r="I323" s="97"/>
      <c r="J323" s="98">
        <f>SUM(J324:J335)</f>
        <v>54487500</v>
      </c>
    </row>
    <row r="324" spans="2:14" ht="18" customHeight="1">
      <c r="B324"/>
      <c r="C324" s="96"/>
      <c r="D324" s="837" t="s">
        <v>628</v>
      </c>
      <c r="E324" s="838"/>
      <c r="F324" s="839"/>
      <c r="G324" s="789">
        <v>85</v>
      </c>
      <c r="H324" s="789" t="s">
        <v>643</v>
      </c>
      <c r="I324" s="92">
        <v>60000</v>
      </c>
      <c r="J324" s="97">
        <f>G324*I324</f>
        <v>5100000</v>
      </c>
      <c r="K324" s="82">
        <f>SUM(J324:J326)</f>
        <v>11640000</v>
      </c>
      <c r="L324" s="82">
        <f>SUM(J323-K324)</f>
        <v>42847500</v>
      </c>
    </row>
    <row r="325" spans="2:14" ht="18" customHeight="1">
      <c r="B325"/>
      <c r="C325" s="96"/>
      <c r="D325" s="836" t="s">
        <v>642</v>
      </c>
      <c r="E325" s="836"/>
      <c r="F325" s="836"/>
      <c r="G325" s="789">
        <v>24</v>
      </c>
      <c r="H325" s="789" t="s">
        <v>643</v>
      </c>
      <c r="I325" s="95">
        <v>70000</v>
      </c>
      <c r="J325" s="97">
        <f t="shared" ref="J325:J328" si="22">G325*I325</f>
        <v>1680000</v>
      </c>
      <c r="K325" s="82" t="s">
        <v>1012</v>
      </c>
    </row>
    <row r="326" spans="2:14" ht="18" customHeight="1">
      <c r="B326"/>
      <c r="C326" s="96"/>
      <c r="D326" s="837" t="s">
        <v>785</v>
      </c>
      <c r="E326" s="838"/>
      <c r="F326" s="839"/>
      <c r="G326" s="789">
        <v>81</v>
      </c>
      <c r="H326" s="789" t="s">
        <v>644</v>
      </c>
      <c r="I326" s="95">
        <v>60000</v>
      </c>
      <c r="J326" s="97">
        <f t="shared" si="22"/>
        <v>4860000</v>
      </c>
    </row>
    <row r="327" spans="2:14" ht="18" customHeight="1">
      <c r="B327"/>
      <c r="C327" s="96"/>
      <c r="D327" s="837" t="s">
        <v>719</v>
      </c>
      <c r="E327" s="838"/>
      <c r="F327" s="839"/>
      <c r="G327" s="789">
        <v>5</v>
      </c>
      <c r="H327" s="789" t="s">
        <v>217</v>
      </c>
      <c r="I327" s="95">
        <v>14500</v>
      </c>
      <c r="J327" s="97">
        <f t="shared" si="22"/>
        <v>72500</v>
      </c>
    </row>
    <row r="328" spans="2:14" ht="18" customHeight="1">
      <c r="B328"/>
      <c r="C328" s="96"/>
      <c r="D328" s="837" t="s">
        <v>750</v>
      </c>
      <c r="E328" s="838"/>
      <c r="F328" s="839"/>
      <c r="G328" s="789">
        <v>3</v>
      </c>
      <c r="H328" s="789" t="s">
        <v>217</v>
      </c>
      <c r="I328" s="95">
        <v>25000</v>
      </c>
      <c r="J328" s="97">
        <f t="shared" si="22"/>
        <v>75000</v>
      </c>
    </row>
    <row r="329" spans="2:14" ht="18" customHeight="1">
      <c r="B329"/>
      <c r="C329" s="94"/>
      <c r="D329" s="834" t="s">
        <v>784</v>
      </c>
      <c r="E329" s="835"/>
      <c r="F329" s="835"/>
      <c r="G329" s="532">
        <v>360</v>
      </c>
      <c r="H329" s="532" t="s">
        <v>241</v>
      </c>
      <c r="I329" s="97">
        <v>55000</v>
      </c>
      <c r="J329" s="97">
        <f>G329*I329</f>
        <v>19800000</v>
      </c>
    </row>
    <row r="330" spans="2:14" ht="18" customHeight="1">
      <c r="B330"/>
      <c r="C330" s="94"/>
      <c r="D330" s="902" t="s">
        <v>700</v>
      </c>
      <c r="E330" s="900"/>
      <c r="F330" s="901"/>
      <c r="G330" s="532">
        <v>2</v>
      </c>
      <c r="H330" s="532" t="s">
        <v>241</v>
      </c>
      <c r="I330" s="97">
        <v>220000</v>
      </c>
      <c r="J330" s="97">
        <f t="shared" ref="J330:J335" si="23">G330*I330</f>
        <v>440000</v>
      </c>
    </row>
    <row r="331" spans="2:14" ht="18" customHeight="1">
      <c r="B331"/>
      <c r="C331" s="94"/>
      <c r="D331" s="834" t="s">
        <v>701</v>
      </c>
      <c r="E331" s="835"/>
      <c r="F331" s="835"/>
      <c r="G331" s="94">
        <v>14</v>
      </c>
      <c r="H331" s="94" t="s">
        <v>102</v>
      </c>
      <c r="I331" s="97">
        <v>300000</v>
      </c>
      <c r="J331" s="97">
        <f t="shared" si="23"/>
        <v>4200000</v>
      </c>
    </row>
    <row r="332" spans="2:14" ht="18" customHeight="1">
      <c r="B332"/>
      <c r="C332" s="94"/>
      <c r="D332" s="834" t="s">
        <v>703</v>
      </c>
      <c r="E332" s="835"/>
      <c r="F332" s="835"/>
      <c r="G332" s="532">
        <v>600</v>
      </c>
      <c r="H332" s="532" t="s">
        <v>241</v>
      </c>
      <c r="I332" s="97">
        <v>800</v>
      </c>
      <c r="J332" s="97">
        <f t="shared" si="23"/>
        <v>480000</v>
      </c>
    </row>
    <row r="333" spans="2:14" ht="18" customHeight="1">
      <c r="B333"/>
      <c r="C333" s="94"/>
      <c r="D333" s="834" t="s">
        <v>708</v>
      </c>
      <c r="E333" s="835"/>
      <c r="F333" s="835"/>
      <c r="G333" s="532">
        <v>23</v>
      </c>
      <c r="H333" s="532" t="s">
        <v>241</v>
      </c>
      <c r="I333" s="97">
        <v>280000</v>
      </c>
      <c r="J333" s="97">
        <f t="shared" si="23"/>
        <v>6440000</v>
      </c>
    </row>
    <row r="334" spans="2:14" ht="18" customHeight="1">
      <c r="B334"/>
      <c r="C334" s="94"/>
      <c r="D334" s="834" t="s">
        <v>758</v>
      </c>
      <c r="E334" s="835"/>
      <c r="F334" s="835"/>
      <c r="G334" s="532">
        <v>144</v>
      </c>
      <c r="H334" s="532" t="s">
        <v>288</v>
      </c>
      <c r="I334" s="97">
        <v>75000</v>
      </c>
      <c r="J334" s="97">
        <f t="shared" si="23"/>
        <v>10800000</v>
      </c>
    </row>
    <row r="335" spans="2:14" ht="18" customHeight="1">
      <c r="B335"/>
      <c r="C335" s="94"/>
      <c r="D335" s="902" t="s">
        <v>775</v>
      </c>
      <c r="E335" s="900"/>
      <c r="F335" s="901"/>
      <c r="G335" s="532">
        <v>9</v>
      </c>
      <c r="H335" s="532" t="s">
        <v>722</v>
      </c>
      <c r="I335" s="97">
        <v>60000</v>
      </c>
      <c r="J335" s="97">
        <f t="shared" si="23"/>
        <v>540000</v>
      </c>
    </row>
    <row r="336" spans="2:14" ht="18" customHeight="1">
      <c r="B336"/>
      <c r="C336" s="101"/>
      <c r="D336" s="811" t="s">
        <v>221</v>
      </c>
      <c r="E336" s="811"/>
      <c r="F336" s="811"/>
      <c r="G336" s="812"/>
      <c r="H336" s="812"/>
      <c r="I336" s="102"/>
      <c r="J336" s="109">
        <f>J314</f>
        <v>59326500</v>
      </c>
    </row>
    <row r="337" spans="2:12" ht="30" customHeight="1">
      <c r="B337"/>
      <c r="C337" s="200" t="s">
        <v>431</v>
      </c>
      <c r="D337" s="820" t="s">
        <v>812</v>
      </c>
      <c r="E337" s="820"/>
      <c r="F337" s="820"/>
      <c r="G337" s="821" t="s">
        <v>811</v>
      </c>
      <c r="H337" s="821"/>
      <c r="I337" s="761" t="s">
        <v>365</v>
      </c>
      <c r="J337" s="264">
        <f>SUM(J338+J346)</f>
        <v>2906500</v>
      </c>
    </row>
    <row r="338" spans="2:12" ht="18" customHeight="1">
      <c r="B338"/>
      <c r="C338" s="88">
        <v>2</v>
      </c>
      <c r="D338" s="820" t="s">
        <v>34</v>
      </c>
      <c r="E338" s="820"/>
      <c r="F338" s="820"/>
      <c r="G338" s="618" t="s">
        <v>630</v>
      </c>
      <c r="H338" s="532" t="s">
        <v>219</v>
      </c>
      <c r="I338" s="617" t="s">
        <v>966</v>
      </c>
      <c r="J338" s="99">
        <f>SUM(J339:J345)</f>
        <v>918000</v>
      </c>
    </row>
    <row r="339" spans="2:12" ht="18" customHeight="1">
      <c r="B339"/>
      <c r="C339" s="91"/>
      <c r="D339" s="822" t="s">
        <v>214</v>
      </c>
      <c r="E339" s="822"/>
      <c r="F339" s="822"/>
      <c r="G339" s="532">
        <v>1</v>
      </c>
      <c r="H339" s="532" t="s">
        <v>233</v>
      </c>
      <c r="I339" s="92">
        <v>500000</v>
      </c>
      <c r="J339" s="92">
        <f>G339*I339</f>
        <v>500000</v>
      </c>
    </row>
    <row r="340" spans="2:12" ht="15.95" customHeight="1">
      <c r="B340"/>
      <c r="C340" s="91"/>
      <c r="D340" s="823" t="s">
        <v>41</v>
      </c>
      <c r="E340" s="823"/>
      <c r="F340" s="823"/>
      <c r="G340" s="937">
        <v>218000</v>
      </c>
      <c r="H340" s="937"/>
      <c r="I340" s="92"/>
      <c r="J340" s="92"/>
      <c r="K340" s="82">
        <f>J337*7.5%</f>
        <v>217987.5</v>
      </c>
    </row>
    <row r="341" spans="2:12" ht="18" customHeight="1">
      <c r="B341"/>
      <c r="C341" s="91"/>
      <c r="D341" s="835" t="s">
        <v>207</v>
      </c>
      <c r="E341" s="835"/>
      <c r="F341" s="835"/>
      <c r="G341" s="532">
        <v>1</v>
      </c>
      <c r="H341" s="532" t="s">
        <v>64</v>
      </c>
      <c r="I341" s="92">
        <f>G340*25%</f>
        <v>54500</v>
      </c>
      <c r="J341" s="92">
        <f>SUM(G341*I341)</f>
        <v>54500</v>
      </c>
    </row>
    <row r="342" spans="2:12" ht="18" customHeight="1">
      <c r="B342"/>
      <c r="C342" s="91"/>
      <c r="D342" s="835" t="s">
        <v>695</v>
      </c>
      <c r="E342" s="835"/>
      <c r="F342" s="835"/>
      <c r="G342" s="532">
        <v>1</v>
      </c>
      <c r="H342" s="532" t="s">
        <v>64</v>
      </c>
      <c r="I342" s="92">
        <f>G340*15%</f>
        <v>32700</v>
      </c>
      <c r="J342" s="92">
        <f>SUM(G342*I342)</f>
        <v>32700</v>
      </c>
    </row>
    <row r="343" spans="2:12" ht="18" customHeight="1">
      <c r="B343"/>
      <c r="C343" s="91"/>
      <c r="D343" s="835" t="s">
        <v>70</v>
      </c>
      <c r="E343" s="835"/>
      <c r="F343" s="835"/>
      <c r="G343" s="532">
        <v>6</v>
      </c>
      <c r="H343" s="532" t="s">
        <v>64</v>
      </c>
      <c r="I343" s="92">
        <f>G340*60%/6</f>
        <v>21800</v>
      </c>
      <c r="J343" s="92">
        <f>SUM(G343*I343)</f>
        <v>130800</v>
      </c>
    </row>
    <row r="344" spans="2:12" ht="18" customHeight="1">
      <c r="B344"/>
      <c r="C344" s="91"/>
      <c r="D344" s="836" t="s">
        <v>215</v>
      </c>
      <c r="E344" s="836"/>
      <c r="F344" s="836"/>
      <c r="G344" s="532">
        <v>1</v>
      </c>
      <c r="H344" s="532" t="s">
        <v>233</v>
      </c>
      <c r="I344" s="92">
        <v>150000</v>
      </c>
      <c r="J344" s="92">
        <f t="shared" ref="J344:J345" si="24">SUM(G344*I344)</f>
        <v>150000</v>
      </c>
    </row>
    <row r="345" spans="2:12" ht="18" customHeight="1">
      <c r="B345"/>
      <c r="C345" s="91"/>
      <c r="D345" s="836" t="s">
        <v>216</v>
      </c>
      <c r="E345" s="836"/>
      <c r="F345" s="836"/>
      <c r="G345" s="532">
        <v>1</v>
      </c>
      <c r="H345" s="532" t="s">
        <v>217</v>
      </c>
      <c r="I345" s="92">
        <v>50000</v>
      </c>
      <c r="J345" s="92">
        <f t="shared" si="24"/>
        <v>50000</v>
      </c>
    </row>
    <row r="346" spans="2:12" ht="15.95" customHeight="1">
      <c r="B346"/>
      <c r="C346" s="96">
        <v>3</v>
      </c>
      <c r="D346" s="813" t="s">
        <v>32</v>
      </c>
      <c r="E346" s="813"/>
      <c r="F346" s="813"/>
      <c r="G346" s="519"/>
      <c r="H346" s="519"/>
      <c r="I346" s="97"/>
      <c r="J346" s="98">
        <f>SUM(J347:J355)</f>
        <v>1988500</v>
      </c>
    </row>
    <row r="347" spans="2:12" ht="15.95" customHeight="1">
      <c r="B347"/>
      <c r="C347" s="96"/>
      <c r="D347" s="837" t="s">
        <v>628</v>
      </c>
      <c r="E347" s="838"/>
      <c r="F347" s="839"/>
      <c r="G347" s="789">
        <v>3</v>
      </c>
      <c r="H347" s="789" t="s">
        <v>643</v>
      </c>
      <c r="I347" s="92">
        <v>60000</v>
      </c>
      <c r="J347" s="97">
        <f>G347*I347</f>
        <v>180000</v>
      </c>
    </row>
    <row r="348" spans="2:12" ht="15.95" customHeight="1">
      <c r="B348"/>
      <c r="C348" s="96"/>
      <c r="D348" s="836" t="s">
        <v>642</v>
      </c>
      <c r="E348" s="836"/>
      <c r="F348" s="836"/>
      <c r="G348" s="789">
        <v>3</v>
      </c>
      <c r="H348" s="789" t="s">
        <v>643</v>
      </c>
      <c r="I348" s="95">
        <v>70000</v>
      </c>
      <c r="J348" s="97">
        <f t="shared" ref="J348:J351" si="25">G348*I348</f>
        <v>210000</v>
      </c>
    </row>
    <row r="349" spans="2:12" ht="15.95" customHeight="1">
      <c r="B349"/>
      <c r="C349" s="96"/>
      <c r="D349" s="837" t="s">
        <v>785</v>
      </c>
      <c r="E349" s="838"/>
      <c r="F349" s="839"/>
      <c r="G349" s="789">
        <v>2</v>
      </c>
      <c r="H349" s="789" t="s">
        <v>644</v>
      </c>
      <c r="I349" s="95">
        <v>60000</v>
      </c>
      <c r="J349" s="97">
        <f t="shared" si="25"/>
        <v>120000</v>
      </c>
    </row>
    <row r="350" spans="2:12" ht="15.95" customHeight="1">
      <c r="B350"/>
      <c r="C350" s="96"/>
      <c r="D350" s="837" t="s">
        <v>719</v>
      </c>
      <c r="E350" s="838"/>
      <c r="F350" s="839"/>
      <c r="G350" s="789">
        <v>5</v>
      </c>
      <c r="H350" s="789" t="s">
        <v>217</v>
      </c>
      <c r="I350" s="95">
        <v>14500</v>
      </c>
      <c r="J350" s="97">
        <f t="shared" si="25"/>
        <v>72500</v>
      </c>
    </row>
    <row r="351" spans="2:12" ht="15.95" customHeight="1">
      <c r="B351"/>
      <c r="C351" s="96"/>
      <c r="D351" s="837" t="s">
        <v>780</v>
      </c>
      <c r="E351" s="838"/>
      <c r="F351" s="839"/>
      <c r="G351" s="789">
        <v>1</v>
      </c>
      <c r="H351" s="789" t="s">
        <v>217</v>
      </c>
      <c r="I351" s="95">
        <v>3500</v>
      </c>
      <c r="J351" s="97">
        <f t="shared" si="25"/>
        <v>3500</v>
      </c>
    </row>
    <row r="352" spans="2:12" ht="15.95" customHeight="1">
      <c r="B352"/>
      <c r="C352" s="94"/>
      <c r="D352" s="834" t="s">
        <v>813</v>
      </c>
      <c r="E352" s="835"/>
      <c r="F352" s="835"/>
      <c r="G352" s="532">
        <v>15</v>
      </c>
      <c r="H352" s="532" t="s">
        <v>241</v>
      </c>
      <c r="I352" s="97">
        <v>27500</v>
      </c>
      <c r="J352" s="97">
        <f>G352*I352</f>
        <v>412500</v>
      </c>
      <c r="L352" s="82" t="s">
        <v>778</v>
      </c>
    </row>
    <row r="353" spans="2:17" ht="15.95" customHeight="1">
      <c r="B353"/>
      <c r="C353" s="94"/>
      <c r="D353" s="902" t="s">
        <v>700</v>
      </c>
      <c r="E353" s="900"/>
      <c r="F353" s="901"/>
      <c r="G353" s="532">
        <v>2</v>
      </c>
      <c r="H353" s="532" t="s">
        <v>241</v>
      </c>
      <c r="I353" s="97">
        <v>220000</v>
      </c>
      <c r="J353" s="97">
        <f t="shared" ref="J353:J355" si="26">G353*I353</f>
        <v>440000</v>
      </c>
      <c r="L353" s="82" t="s">
        <v>287</v>
      </c>
    </row>
    <row r="354" spans="2:17" ht="18" customHeight="1">
      <c r="B354"/>
      <c r="C354" s="94"/>
      <c r="D354" s="834" t="s">
        <v>703</v>
      </c>
      <c r="E354" s="835"/>
      <c r="F354" s="835"/>
      <c r="G354" s="532">
        <v>500</v>
      </c>
      <c r="H354" s="532" t="s">
        <v>241</v>
      </c>
      <c r="I354" s="97">
        <v>800</v>
      </c>
      <c r="J354" s="97">
        <f t="shared" si="26"/>
        <v>400000</v>
      </c>
      <c r="L354" s="82" t="s">
        <v>317</v>
      </c>
    </row>
    <row r="355" spans="2:17" ht="18" customHeight="1">
      <c r="B355"/>
      <c r="C355" s="94"/>
      <c r="D355" s="834" t="s">
        <v>758</v>
      </c>
      <c r="E355" s="835"/>
      <c r="F355" s="835"/>
      <c r="G355" s="532">
        <v>2</v>
      </c>
      <c r="H355" s="532" t="s">
        <v>288</v>
      </c>
      <c r="I355" s="97">
        <v>75000</v>
      </c>
      <c r="J355" s="97">
        <f t="shared" si="26"/>
        <v>150000</v>
      </c>
      <c r="L355" s="82" t="s">
        <v>602</v>
      </c>
    </row>
    <row r="356" spans="2:17" ht="18" customHeight="1">
      <c r="B356"/>
      <c r="C356" s="101"/>
      <c r="D356" s="811" t="s">
        <v>221</v>
      </c>
      <c r="E356" s="811"/>
      <c r="F356" s="811"/>
      <c r="G356" s="812"/>
      <c r="H356" s="812"/>
      <c r="I356" s="102"/>
      <c r="J356" s="109">
        <f>J337</f>
        <v>2906500</v>
      </c>
      <c r="L356" s="82" t="s">
        <v>743</v>
      </c>
    </row>
    <row r="357" spans="2:17" ht="32.25" customHeight="1">
      <c r="B357"/>
      <c r="C357" s="200" t="s">
        <v>432</v>
      </c>
      <c r="D357" s="820" t="s">
        <v>787</v>
      </c>
      <c r="E357" s="820"/>
      <c r="F357" s="820"/>
      <c r="G357" s="821" t="s">
        <v>793</v>
      </c>
      <c r="H357" s="821"/>
      <c r="I357" s="87"/>
      <c r="J357" s="264">
        <f>SUM(J358+J366)</f>
        <v>27949700</v>
      </c>
      <c r="L357" s="82" t="s">
        <v>296</v>
      </c>
    </row>
    <row r="358" spans="2:17" ht="18" customHeight="1">
      <c r="B358"/>
      <c r="C358" s="88">
        <v>2</v>
      </c>
      <c r="D358" s="820" t="s">
        <v>34</v>
      </c>
      <c r="E358" s="820"/>
      <c r="F358" s="820"/>
      <c r="G358" s="532" t="s">
        <v>246</v>
      </c>
      <c r="H358" s="532" t="s">
        <v>219</v>
      </c>
      <c r="I358" s="89"/>
      <c r="J358" s="99">
        <f>SUM(J359:J365)</f>
        <v>2650000</v>
      </c>
      <c r="L358" s="82" t="s">
        <v>746</v>
      </c>
    </row>
    <row r="359" spans="2:17" ht="18" customHeight="1">
      <c r="B359"/>
      <c r="C359" s="91"/>
      <c r="D359" s="822" t="s">
        <v>214</v>
      </c>
      <c r="E359" s="822"/>
      <c r="F359" s="822"/>
      <c r="G359" s="532">
        <v>1</v>
      </c>
      <c r="H359" s="197" t="s">
        <v>233</v>
      </c>
      <c r="I359" s="92">
        <v>500000</v>
      </c>
      <c r="J359" s="92">
        <f>G359*I359</f>
        <v>500000</v>
      </c>
      <c r="L359" s="82" t="s">
        <v>280</v>
      </c>
    </row>
    <row r="360" spans="2:17" ht="18" customHeight="1">
      <c r="B360"/>
      <c r="C360" s="91"/>
      <c r="D360" s="823" t="s">
        <v>41</v>
      </c>
      <c r="E360" s="823"/>
      <c r="F360" s="823"/>
      <c r="G360" s="937">
        <v>1950000</v>
      </c>
      <c r="H360" s="937"/>
      <c r="I360" s="92"/>
      <c r="J360" s="92"/>
      <c r="K360" s="82">
        <f>J357*7.5%</f>
        <v>2096227.5</v>
      </c>
      <c r="L360" s="82" t="s">
        <v>745</v>
      </c>
    </row>
    <row r="361" spans="2:17" ht="18" customHeight="1">
      <c r="B361"/>
      <c r="C361" s="91"/>
      <c r="D361" s="835" t="s">
        <v>207</v>
      </c>
      <c r="E361" s="835"/>
      <c r="F361" s="835"/>
      <c r="G361" s="532">
        <v>1</v>
      </c>
      <c r="H361" s="532" t="s">
        <v>64</v>
      </c>
      <c r="I361" s="92">
        <f>G360*25%</f>
        <v>487500</v>
      </c>
      <c r="J361" s="92">
        <f>SUM(G361*I361)</f>
        <v>487500</v>
      </c>
    </row>
    <row r="362" spans="2:17" ht="18" customHeight="1">
      <c r="B362"/>
      <c r="C362" s="91"/>
      <c r="D362" s="835" t="s">
        <v>695</v>
      </c>
      <c r="E362" s="835"/>
      <c r="F362" s="835"/>
      <c r="G362" s="532">
        <v>1</v>
      </c>
      <c r="H362" s="532" t="s">
        <v>64</v>
      </c>
      <c r="I362" s="92">
        <f>G360*15%</f>
        <v>292500</v>
      </c>
      <c r="J362" s="92">
        <f>SUM(G362*I362)</f>
        <v>292500</v>
      </c>
    </row>
    <row r="363" spans="2:17" ht="18" customHeight="1">
      <c r="B363"/>
      <c r="C363" s="91"/>
      <c r="D363" s="835" t="s">
        <v>70</v>
      </c>
      <c r="E363" s="835"/>
      <c r="F363" s="835"/>
      <c r="G363" s="532">
        <v>6</v>
      </c>
      <c r="H363" s="532" t="s">
        <v>64</v>
      </c>
      <c r="I363" s="92">
        <f>G360*60%/6</f>
        <v>195000</v>
      </c>
      <c r="J363" s="92">
        <f>SUM(G363*I363)</f>
        <v>1170000</v>
      </c>
    </row>
    <row r="364" spans="2:17" ht="18" customHeight="1">
      <c r="B364"/>
      <c r="C364" s="91"/>
      <c r="D364" s="836" t="s">
        <v>215</v>
      </c>
      <c r="E364" s="836"/>
      <c r="F364" s="836"/>
      <c r="G364" s="532">
        <v>1</v>
      </c>
      <c r="H364" s="532" t="s">
        <v>217</v>
      </c>
      <c r="I364" s="92">
        <v>150000</v>
      </c>
      <c r="J364" s="92">
        <f t="shared" ref="J364:J365" si="27">SUM(G364*I364)</f>
        <v>150000</v>
      </c>
    </row>
    <row r="365" spans="2:17" ht="18" customHeight="1">
      <c r="B365"/>
      <c r="C365" s="91"/>
      <c r="D365" s="836" t="s">
        <v>216</v>
      </c>
      <c r="E365" s="836"/>
      <c r="F365" s="836"/>
      <c r="G365" s="532">
        <v>1</v>
      </c>
      <c r="H365" s="532" t="s">
        <v>217</v>
      </c>
      <c r="I365" s="92">
        <v>50000</v>
      </c>
      <c r="J365" s="92">
        <f t="shared" si="27"/>
        <v>50000</v>
      </c>
    </row>
    <row r="366" spans="2:17" ht="18" customHeight="1">
      <c r="B366"/>
      <c r="C366" s="96">
        <v>3</v>
      </c>
      <c r="D366" s="813" t="s">
        <v>32</v>
      </c>
      <c r="E366" s="813"/>
      <c r="F366" s="813"/>
      <c r="G366" s="519"/>
      <c r="H366" s="519"/>
      <c r="I366" s="97"/>
      <c r="J366" s="98">
        <f>SUM(J367:J379)</f>
        <v>25299700</v>
      </c>
      <c r="L366" s="82">
        <v>2.2000000000000002</v>
      </c>
      <c r="M366" s="82">
        <v>1</v>
      </c>
      <c r="N366" s="82">
        <v>6</v>
      </c>
      <c r="O366" s="81">
        <f>SUM(L366*M366/N366)</f>
        <v>0.3666666666666667</v>
      </c>
      <c r="P366" s="269">
        <v>2.4E-2</v>
      </c>
      <c r="Q366" s="81">
        <f>SUM(O366/P366)</f>
        <v>15.277777777777779</v>
      </c>
    </row>
    <row r="367" spans="2:17" ht="18" customHeight="1">
      <c r="B367"/>
      <c r="C367" s="96"/>
      <c r="D367" s="837" t="s">
        <v>628</v>
      </c>
      <c r="E367" s="838"/>
      <c r="F367" s="839"/>
      <c r="G367" s="789">
        <v>86</v>
      </c>
      <c r="H367" s="789" t="s">
        <v>644</v>
      </c>
      <c r="I367" s="92">
        <v>60000</v>
      </c>
      <c r="J367" s="97">
        <f>G367*I367</f>
        <v>5160000</v>
      </c>
      <c r="P367" s="269"/>
    </row>
    <row r="368" spans="2:17" ht="18" customHeight="1">
      <c r="B368"/>
      <c r="C368" s="96"/>
      <c r="D368" s="836" t="s">
        <v>642</v>
      </c>
      <c r="E368" s="836"/>
      <c r="F368" s="836"/>
      <c r="G368" s="789">
        <v>33</v>
      </c>
      <c r="H368" s="789" t="s">
        <v>644</v>
      </c>
      <c r="I368" s="95">
        <v>70000</v>
      </c>
      <c r="J368" s="97">
        <f t="shared" ref="J368:J372" si="28">G368*I368</f>
        <v>2310000</v>
      </c>
      <c r="P368" s="269"/>
    </row>
    <row r="369" spans="2:16" ht="18" customHeight="1">
      <c r="B369"/>
      <c r="C369" s="96"/>
      <c r="D369" s="837" t="s">
        <v>785</v>
      </c>
      <c r="E369" s="838"/>
      <c r="F369" s="839"/>
      <c r="G369" s="789">
        <v>8</v>
      </c>
      <c r="H369" s="789" t="s">
        <v>644</v>
      </c>
      <c r="I369" s="95">
        <v>60000</v>
      </c>
      <c r="J369" s="97">
        <f t="shared" si="28"/>
        <v>480000</v>
      </c>
      <c r="P369" s="269"/>
    </row>
    <row r="370" spans="2:16" ht="18" customHeight="1">
      <c r="B370"/>
      <c r="C370" s="96"/>
      <c r="D370" s="837" t="s">
        <v>715</v>
      </c>
      <c r="E370" s="838"/>
      <c r="F370" s="839"/>
      <c r="G370" s="789">
        <v>5</v>
      </c>
      <c r="H370" s="789" t="s">
        <v>699</v>
      </c>
      <c r="I370" s="95">
        <v>27600</v>
      </c>
      <c r="J370" s="97">
        <f t="shared" si="28"/>
        <v>138000</v>
      </c>
      <c r="P370" s="269"/>
    </row>
    <row r="371" spans="2:16" ht="18" customHeight="1">
      <c r="B371"/>
      <c r="C371" s="96"/>
      <c r="D371" s="837" t="s">
        <v>719</v>
      </c>
      <c r="E371" s="838"/>
      <c r="F371" s="839"/>
      <c r="G371" s="789">
        <v>10</v>
      </c>
      <c r="H371" s="789" t="s">
        <v>217</v>
      </c>
      <c r="I371" s="95">
        <v>14500</v>
      </c>
      <c r="J371" s="97">
        <f t="shared" si="28"/>
        <v>145000</v>
      </c>
      <c r="P371" s="269"/>
    </row>
    <row r="372" spans="2:16" ht="18" customHeight="1">
      <c r="B372"/>
      <c r="C372" s="96"/>
      <c r="D372" s="837" t="s">
        <v>780</v>
      </c>
      <c r="E372" s="838"/>
      <c r="F372" s="839"/>
      <c r="G372" s="789">
        <v>2</v>
      </c>
      <c r="H372" s="789" t="s">
        <v>217</v>
      </c>
      <c r="I372" s="95">
        <v>3500</v>
      </c>
      <c r="J372" s="97">
        <f t="shared" si="28"/>
        <v>7000</v>
      </c>
      <c r="P372" s="269"/>
    </row>
    <row r="373" spans="2:16" ht="18" customHeight="1">
      <c r="B373"/>
      <c r="C373" s="94"/>
      <c r="D373" s="834" t="s">
        <v>700</v>
      </c>
      <c r="E373" s="835"/>
      <c r="F373" s="835"/>
      <c r="G373" s="252">
        <v>7</v>
      </c>
      <c r="H373" s="532" t="s">
        <v>241</v>
      </c>
      <c r="I373" s="97">
        <v>220000</v>
      </c>
      <c r="J373" s="97">
        <f>G373*I373</f>
        <v>1540000</v>
      </c>
    </row>
    <row r="374" spans="2:16" ht="18" customHeight="1">
      <c r="B374"/>
      <c r="C374" s="94"/>
      <c r="D374" s="834" t="s">
        <v>703</v>
      </c>
      <c r="E374" s="835"/>
      <c r="F374" s="835"/>
      <c r="G374" s="94">
        <v>7650</v>
      </c>
      <c r="H374" s="94" t="s">
        <v>102</v>
      </c>
      <c r="I374" s="97">
        <v>800</v>
      </c>
      <c r="J374" s="97">
        <f t="shared" ref="J374:J379" si="29">G374*I374</f>
        <v>6120000</v>
      </c>
      <c r="L374" s="82">
        <v>2.2000000000000002</v>
      </c>
      <c r="M374" s="82">
        <v>3</v>
      </c>
      <c r="N374" s="82">
        <v>6</v>
      </c>
      <c r="O374" s="81">
        <f>SUM(L374*M374/N374)</f>
        <v>1.1000000000000001</v>
      </c>
    </row>
    <row r="375" spans="2:16" ht="18" customHeight="1">
      <c r="B375"/>
      <c r="C375" s="94"/>
      <c r="D375" s="834" t="s">
        <v>701</v>
      </c>
      <c r="E375" s="835"/>
      <c r="F375" s="835"/>
      <c r="G375" s="532">
        <v>3</v>
      </c>
      <c r="H375" s="532" t="s">
        <v>241</v>
      </c>
      <c r="I375" s="97">
        <v>300000</v>
      </c>
      <c r="J375" s="97">
        <f t="shared" si="29"/>
        <v>900000</v>
      </c>
    </row>
    <row r="376" spans="2:16" ht="18" customHeight="1">
      <c r="B376"/>
      <c r="C376" s="94"/>
      <c r="D376" s="834" t="s">
        <v>758</v>
      </c>
      <c r="E376" s="835"/>
      <c r="F376" s="835"/>
      <c r="G376" s="532">
        <v>74</v>
      </c>
      <c r="H376" s="532" t="s">
        <v>288</v>
      </c>
      <c r="I376" s="97">
        <v>75000</v>
      </c>
      <c r="J376" s="97">
        <f t="shared" si="29"/>
        <v>5550000</v>
      </c>
    </row>
    <row r="377" spans="2:16" ht="18" customHeight="1">
      <c r="B377"/>
      <c r="C377" s="94"/>
      <c r="D377" s="902" t="s">
        <v>708</v>
      </c>
      <c r="E377" s="900"/>
      <c r="F377" s="901"/>
      <c r="G377" s="252">
        <v>6</v>
      </c>
      <c r="H377" s="532" t="s">
        <v>241</v>
      </c>
      <c r="I377" s="97">
        <v>280000</v>
      </c>
      <c r="J377" s="97">
        <f t="shared" si="29"/>
        <v>1680000</v>
      </c>
      <c r="M377" s="82">
        <f>0.06/0.05</f>
        <v>1.2</v>
      </c>
      <c r="N377" s="82">
        <v>1.2</v>
      </c>
      <c r="O377" s="81">
        <f>M377+N377</f>
        <v>2.4</v>
      </c>
    </row>
    <row r="378" spans="2:16" ht="18" customHeight="1">
      <c r="B378"/>
      <c r="C378" s="94"/>
      <c r="D378" s="902" t="s">
        <v>792</v>
      </c>
      <c r="E378" s="900"/>
      <c r="F378" s="901"/>
      <c r="G378" s="532">
        <v>45</v>
      </c>
      <c r="H378" s="532" t="s">
        <v>251</v>
      </c>
      <c r="I378" s="97">
        <v>27500</v>
      </c>
      <c r="J378" s="97">
        <f t="shared" si="29"/>
        <v>1237500</v>
      </c>
    </row>
    <row r="379" spans="2:16" ht="18" customHeight="1">
      <c r="B379"/>
      <c r="C379" s="94"/>
      <c r="D379" s="902" t="s">
        <v>764</v>
      </c>
      <c r="E379" s="900"/>
      <c r="F379" s="901"/>
      <c r="G379" s="532">
        <v>2</v>
      </c>
      <c r="H379" s="532" t="s">
        <v>250</v>
      </c>
      <c r="I379" s="97">
        <v>16100</v>
      </c>
      <c r="J379" s="97">
        <f t="shared" si="29"/>
        <v>32200</v>
      </c>
    </row>
    <row r="380" spans="2:16" ht="18" customHeight="1">
      <c r="B380"/>
      <c r="C380" s="101"/>
      <c r="D380" s="811" t="s">
        <v>221</v>
      </c>
      <c r="E380" s="811"/>
      <c r="F380" s="811"/>
      <c r="G380" s="812"/>
      <c r="H380" s="812"/>
      <c r="I380" s="102"/>
      <c r="J380" s="109">
        <f>J357</f>
        <v>27949700</v>
      </c>
    </row>
    <row r="381" spans="2:16" ht="30" customHeight="1">
      <c r="B381"/>
      <c r="C381" s="200" t="s">
        <v>433</v>
      </c>
      <c r="D381" s="820" t="s">
        <v>895</v>
      </c>
      <c r="E381" s="820"/>
      <c r="F381" s="820"/>
      <c r="G381" s="821" t="s">
        <v>893</v>
      </c>
      <c r="H381" s="821"/>
      <c r="I381" s="87"/>
      <c r="J381" s="264">
        <f>SUM(J382+J390)</f>
        <v>18986000</v>
      </c>
    </row>
    <row r="382" spans="2:16" ht="18" customHeight="1">
      <c r="B382"/>
      <c r="C382" s="88">
        <v>2</v>
      </c>
      <c r="D382" s="820" t="s">
        <v>34</v>
      </c>
      <c r="E382" s="820"/>
      <c r="F382" s="820"/>
      <c r="G382" s="532" t="s">
        <v>630</v>
      </c>
      <c r="H382" s="532" t="s">
        <v>631</v>
      </c>
      <c r="I382" s="533" t="s">
        <v>794</v>
      </c>
      <c r="J382" s="99">
        <f>SUM(J383:J389)</f>
        <v>2025000</v>
      </c>
    </row>
    <row r="383" spans="2:16" ht="18" customHeight="1">
      <c r="B383"/>
      <c r="C383" s="91"/>
      <c r="D383" s="822" t="s">
        <v>214</v>
      </c>
      <c r="E383" s="822"/>
      <c r="F383" s="822"/>
      <c r="G383" s="532">
        <v>1</v>
      </c>
      <c r="H383" s="197" t="s">
        <v>233</v>
      </c>
      <c r="I383" s="92">
        <v>500000</v>
      </c>
      <c r="J383" s="92">
        <f>G383*I383</f>
        <v>500000</v>
      </c>
    </row>
    <row r="384" spans="2:16" ht="18" customHeight="1">
      <c r="B384"/>
      <c r="C384" s="91"/>
      <c r="D384" s="823" t="s">
        <v>41</v>
      </c>
      <c r="E384" s="823"/>
      <c r="F384" s="823"/>
      <c r="G384" s="937">
        <v>1325000</v>
      </c>
      <c r="H384" s="937"/>
      <c r="I384" s="92"/>
      <c r="J384" s="92"/>
      <c r="K384" s="82">
        <f>J381*7.5%</f>
        <v>1423950</v>
      </c>
    </row>
    <row r="385" spans="2:10" ht="18" customHeight="1">
      <c r="B385"/>
      <c r="C385" s="91"/>
      <c r="D385" s="835" t="s">
        <v>207</v>
      </c>
      <c r="E385" s="835"/>
      <c r="F385" s="835"/>
      <c r="G385" s="532">
        <v>1</v>
      </c>
      <c r="H385" s="532" t="s">
        <v>64</v>
      </c>
      <c r="I385" s="92">
        <f>G384*25%</f>
        <v>331250</v>
      </c>
      <c r="J385" s="92">
        <f>SUM(G385*I385)</f>
        <v>331250</v>
      </c>
    </row>
    <row r="386" spans="2:10" ht="18" customHeight="1">
      <c r="B386"/>
      <c r="C386" s="91"/>
      <c r="D386" s="835" t="s">
        <v>695</v>
      </c>
      <c r="E386" s="835"/>
      <c r="F386" s="835"/>
      <c r="G386" s="532">
        <v>1</v>
      </c>
      <c r="H386" s="532" t="s">
        <v>64</v>
      </c>
      <c r="I386" s="92">
        <f>G384*15%</f>
        <v>198750</v>
      </c>
      <c r="J386" s="92">
        <f>SUM(G386*I386)</f>
        <v>198750</v>
      </c>
    </row>
    <row r="387" spans="2:10" ht="15.95" customHeight="1">
      <c r="B387"/>
      <c r="C387" s="91"/>
      <c r="D387" s="835" t="s">
        <v>70</v>
      </c>
      <c r="E387" s="835"/>
      <c r="F387" s="835"/>
      <c r="G387" s="532">
        <v>6</v>
      </c>
      <c r="H387" s="532" t="s">
        <v>64</v>
      </c>
      <c r="I387" s="92">
        <f>G384*60%/6</f>
        <v>132500</v>
      </c>
      <c r="J387" s="92">
        <f>SUM(G387*I387)</f>
        <v>795000</v>
      </c>
    </row>
    <row r="388" spans="2:10" ht="15.95" customHeight="1">
      <c r="B388"/>
      <c r="C388" s="91"/>
      <c r="D388" s="836" t="s">
        <v>215</v>
      </c>
      <c r="E388" s="836"/>
      <c r="F388" s="836"/>
      <c r="G388" s="532">
        <v>1</v>
      </c>
      <c r="H388" s="532" t="s">
        <v>217</v>
      </c>
      <c r="I388" s="92">
        <v>150000</v>
      </c>
      <c r="J388" s="92">
        <f t="shared" ref="J388:J389" si="30">SUM(G388*I388)</f>
        <v>150000</v>
      </c>
    </row>
    <row r="389" spans="2:10" ht="15.95" customHeight="1">
      <c r="B389"/>
      <c r="C389" s="91"/>
      <c r="D389" s="836" t="s">
        <v>216</v>
      </c>
      <c r="E389" s="836"/>
      <c r="F389" s="836"/>
      <c r="G389" s="532">
        <v>1</v>
      </c>
      <c r="H389" s="532" t="s">
        <v>217</v>
      </c>
      <c r="I389" s="92">
        <v>50000</v>
      </c>
      <c r="J389" s="92">
        <f t="shared" si="30"/>
        <v>50000</v>
      </c>
    </row>
    <row r="390" spans="2:10" ht="15.95" customHeight="1">
      <c r="B390"/>
      <c r="C390" s="96">
        <v>3</v>
      </c>
      <c r="D390" s="813" t="s">
        <v>32</v>
      </c>
      <c r="E390" s="813"/>
      <c r="F390" s="813"/>
      <c r="G390" s="519"/>
      <c r="H390" s="519"/>
      <c r="I390" s="97"/>
      <c r="J390" s="98">
        <f>SUM(J391:J401)</f>
        <v>16961000</v>
      </c>
    </row>
    <row r="391" spans="2:10" ht="15.95" customHeight="1">
      <c r="B391"/>
      <c r="C391" s="96"/>
      <c r="D391" s="837" t="s">
        <v>628</v>
      </c>
      <c r="E391" s="838"/>
      <c r="F391" s="839"/>
      <c r="G391" s="789">
        <v>10</v>
      </c>
      <c r="H391" s="789" t="s">
        <v>644</v>
      </c>
      <c r="I391" s="92">
        <v>60000</v>
      </c>
      <c r="J391" s="97">
        <f>G391*I391</f>
        <v>600000</v>
      </c>
    </row>
    <row r="392" spans="2:10" ht="15.95" customHeight="1">
      <c r="B392"/>
      <c r="C392" s="96"/>
      <c r="D392" s="836" t="s">
        <v>898</v>
      </c>
      <c r="E392" s="836"/>
      <c r="F392" s="836"/>
      <c r="G392" s="789">
        <v>4</v>
      </c>
      <c r="H392" s="789" t="s">
        <v>644</v>
      </c>
      <c r="I392" s="95">
        <v>70000</v>
      </c>
      <c r="J392" s="97">
        <f t="shared" ref="J392:J394" si="31">G392*I392</f>
        <v>280000</v>
      </c>
    </row>
    <row r="393" spans="2:10" ht="15.95" customHeight="1">
      <c r="B393"/>
      <c r="C393" s="96"/>
      <c r="D393" s="837" t="s">
        <v>801</v>
      </c>
      <c r="E393" s="838"/>
      <c r="F393" s="839"/>
      <c r="G393" s="789">
        <v>1</v>
      </c>
      <c r="H393" s="789" t="s">
        <v>241</v>
      </c>
      <c r="I393" s="95">
        <v>200000</v>
      </c>
      <c r="J393" s="97">
        <f t="shared" si="31"/>
        <v>200000</v>
      </c>
    </row>
    <row r="394" spans="2:10" ht="15.95" customHeight="1">
      <c r="B394"/>
      <c r="C394" s="96"/>
      <c r="D394" s="837" t="s">
        <v>719</v>
      </c>
      <c r="E394" s="838"/>
      <c r="F394" s="839"/>
      <c r="G394" s="789">
        <v>3</v>
      </c>
      <c r="H394" s="789" t="s">
        <v>217</v>
      </c>
      <c r="I394" s="95">
        <v>14500</v>
      </c>
      <c r="J394" s="97">
        <f t="shared" si="31"/>
        <v>43500</v>
      </c>
    </row>
    <row r="395" spans="2:10" ht="15.95" customHeight="1">
      <c r="B395"/>
      <c r="C395" s="94"/>
      <c r="D395" s="834" t="s">
        <v>701</v>
      </c>
      <c r="E395" s="835"/>
      <c r="F395" s="835"/>
      <c r="G395" s="532">
        <v>2</v>
      </c>
      <c r="H395" s="532" t="s">
        <v>241</v>
      </c>
      <c r="I395" s="97">
        <v>300000</v>
      </c>
      <c r="J395" s="97">
        <f>G395*I395</f>
        <v>600000</v>
      </c>
    </row>
    <row r="396" spans="2:10" ht="15.95" customHeight="1">
      <c r="B396"/>
      <c r="C396" s="94"/>
      <c r="D396" s="834" t="s">
        <v>758</v>
      </c>
      <c r="E396" s="835"/>
      <c r="F396" s="835"/>
      <c r="G396" s="532">
        <v>8</v>
      </c>
      <c r="H396" s="532" t="s">
        <v>288</v>
      </c>
      <c r="I396" s="97">
        <v>75000</v>
      </c>
      <c r="J396" s="97">
        <f t="shared" ref="J396:J400" si="32">G396*I396</f>
        <v>600000</v>
      </c>
    </row>
    <row r="397" spans="2:10" ht="15.95" customHeight="1">
      <c r="B397"/>
      <c r="C397" s="94"/>
      <c r="D397" s="902" t="s">
        <v>708</v>
      </c>
      <c r="E397" s="900"/>
      <c r="F397" s="901"/>
      <c r="G397" s="252">
        <v>2</v>
      </c>
      <c r="H397" s="532" t="s">
        <v>241</v>
      </c>
      <c r="I397" s="97">
        <v>280000</v>
      </c>
      <c r="J397" s="97">
        <f t="shared" si="32"/>
        <v>560000</v>
      </c>
    </row>
    <row r="398" spans="2:10" ht="23.25" customHeight="1">
      <c r="B398"/>
      <c r="C398" s="94"/>
      <c r="D398" s="902" t="s">
        <v>897</v>
      </c>
      <c r="E398" s="900"/>
      <c r="F398" s="901"/>
      <c r="G398" s="532">
        <v>7</v>
      </c>
      <c r="H398" s="532" t="s">
        <v>803</v>
      </c>
      <c r="I398" s="97">
        <v>1710000</v>
      </c>
      <c r="J398" s="97">
        <f t="shared" si="32"/>
        <v>11970000</v>
      </c>
    </row>
    <row r="399" spans="2:10" ht="18" customHeight="1">
      <c r="B399"/>
      <c r="C399" s="94"/>
      <c r="D399" s="902" t="s">
        <v>799</v>
      </c>
      <c r="E399" s="900"/>
      <c r="F399" s="901"/>
      <c r="G399" s="532">
        <v>75</v>
      </c>
      <c r="H399" s="532" t="s">
        <v>802</v>
      </c>
      <c r="I399" s="97">
        <v>12500</v>
      </c>
      <c r="J399" s="97">
        <f t="shared" si="32"/>
        <v>937500</v>
      </c>
    </row>
    <row r="400" spans="2:10" ht="18" customHeight="1">
      <c r="B400"/>
      <c r="C400" s="94"/>
      <c r="D400" s="902" t="s">
        <v>800</v>
      </c>
      <c r="E400" s="915"/>
      <c r="F400" s="916"/>
      <c r="G400" s="532">
        <v>1</v>
      </c>
      <c r="H400" s="532" t="s">
        <v>639</v>
      </c>
      <c r="I400" s="95">
        <v>170000</v>
      </c>
      <c r="J400" s="97">
        <f t="shared" si="32"/>
        <v>170000</v>
      </c>
    </row>
    <row r="401" spans="2:21" ht="30.75" customHeight="1">
      <c r="B401"/>
      <c r="C401" s="94"/>
      <c r="D401" s="902" t="s">
        <v>896</v>
      </c>
      <c r="E401" s="915"/>
      <c r="F401" s="916"/>
      <c r="G401" s="532">
        <v>5</v>
      </c>
      <c r="H401" s="532" t="s">
        <v>241</v>
      </c>
      <c r="I401" s="95">
        <v>200000</v>
      </c>
      <c r="J401" s="97">
        <f>G401*I401</f>
        <v>1000000</v>
      </c>
    </row>
    <row r="402" spans="2:21" ht="21" customHeight="1">
      <c r="B402"/>
      <c r="C402" s="101"/>
      <c r="D402" s="811" t="s">
        <v>221</v>
      </c>
      <c r="E402" s="811"/>
      <c r="F402" s="811"/>
      <c r="G402" s="812"/>
      <c r="H402" s="812"/>
      <c r="I402" s="102"/>
      <c r="J402" s="109">
        <f>J381</f>
        <v>18986000</v>
      </c>
      <c r="L402" s="508" t="s">
        <v>838</v>
      </c>
    </row>
    <row r="403" spans="2:21" ht="30.75" customHeight="1">
      <c r="B403"/>
      <c r="C403" s="200" t="s">
        <v>434</v>
      </c>
      <c r="D403" s="820" t="s">
        <v>804</v>
      </c>
      <c r="E403" s="820"/>
      <c r="F403" s="820"/>
      <c r="G403" s="821" t="s">
        <v>805</v>
      </c>
      <c r="H403" s="821"/>
      <c r="I403" s="87"/>
      <c r="J403" s="264">
        <f>SUM(J404+J412)</f>
        <v>13403700</v>
      </c>
      <c r="L403" s="82" t="s">
        <v>839</v>
      </c>
      <c r="M403" s="82">
        <v>240</v>
      </c>
      <c r="N403" s="82" t="s">
        <v>830</v>
      </c>
      <c r="O403" s="81">
        <v>2</v>
      </c>
      <c r="P403" s="81">
        <f>M403*O403</f>
        <v>480</v>
      </c>
      <c r="Q403" s="81" t="s">
        <v>830</v>
      </c>
      <c r="R403" s="81">
        <v>0.5</v>
      </c>
      <c r="S403" s="81" t="s">
        <v>830</v>
      </c>
      <c r="T403" s="81">
        <v>0.6</v>
      </c>
      <c r="U403" s="81">
        <f>P403*R403*T403</f>
        <v>144</v>
      </c>
    </row>
    <row r="404" spans="2:21" ht="15.95" customHeight="1">
      <c r="B404"/>
      <c r="C404" s="88">
        <v>2</v>
      </c>
      <c r="D404" s="820" t="s">
        <v>34</v>
      </c>
      <c r="E404" s="820"/>
      <c r="F404" s="820"/>
      <c r="G404" s="532" t="s">
        <v>630</v>
      </c>
      <c r="H404" s="532" t="s">
        <v>631</v>
      </c>
      <c r="I404" s="533" t="s">
        <v>794</v>
      </c>
      <c r="J404" s="99">
        <f>SUM(J405:J411)</f>
        <v>1635000</v>
      </c>
      <c r="L404" s="82" t="s">
        <v>290</v>
      </c>
    </row>
    <row r="405" spans="2:21" ht="15.95" customHeight="1">
      <c r="B405"/>
      <c r="C405" s="91"/>
      <c r="D405" s="822" t="s">
        <v>214</v>
      </c>
      <c r="E405" s="822"/>
      <c r="F405" s="822"/>
      <c r="G405" s="532">
        <v>1</v>
      </c>
      <c r="H405" s="197" t="s">
        <v>233</v>
      </c>
      <c r="I405" s="92">
        <v>500000</v>
      </c>
      <c r="J405" s="92">
        <f>G405*I405</f>
        <v>500000</v>
      </c>
      <c r="L405" s="82" t="s">
        <v>840</v>
      </c>
      <c r="O405" s="81">
        <f>235*0.6*0.8</f>
        <v>112.80000000000001</v>
      </c>
    </row>
    <row r="406" spans="2:21" ht="15.95" customHeight="1">
      <c r="B406"/>
      <c r="C406" s="91"/>
      <c r="D406" s="823" t="s">
        <v>41</v>
      </c>
      <c r="E406" s="823"/>
      <c r="F406" s="823"/>
      <c r="G406" s="937">
        <v>935000</v>
      </c>
      <c r="H406" s="937"/>
      <c r="I406" s="92"/>
      <c r="J406" s="92"/>
      <c r="K406" s="82">
        <f>J403*7.5%</f>
        <v>1005277.5</v>
      </c>
      <c r="L406" s="82" t="s">
        <v>287</v>
      </c>
      <c r="M406" s="82">
        <v>18</v>
      </c>
    </row>
    <row r="407" spans="2:21" ht="15.95" customHeight="1">
      <c r="B407"/>
      <c r="C407" s="91"/>
      <c r="D407" s="835" t="s">
        <v>207</v>
      </c>
      <c r="E407" s="835"/>
      <c r="F407" s="835"/>
      <c r="G407" s="532">
        <v>1</v>
      </c>
      <c r="H407" s="532" t="s">
        <v>64</v>
      </c>
      <c r="I407" s="92">
        <f>G406*25%</f>
        <v>233750</v>
      </c>
      <c r="J407" s="92">
        <f>SUM(G407*I407)</f>
        <v>233750</v>
      </c>
      <c r="L407" s="82" t="s">
        <v>317</v>
      </c>
    </row>
    <row r="408" spans="2:21" ht="15.95" customHeight="1">
      <c r="B408"/>
      <c r="C408" s="91"/>
      <c r="D408" s="835" t="s">
        <v>695</v>
      </c>
      <c r="E408" s="835"/>
      <c r="F408" s="835"/>
      <c r="G408" s="532">
        <v>1</v>
      </c>
      <c r="H408" s="532" t="s">
        <v>64</v>
      </c>
      <c r="I408" s="92">
        <f>G406*15%</f>
        <v>140250</v>
      </c>
      <c r="J408" s="92">
        <f>SUM(G408*I408)</f>
        <v>140250</v>
      </c>
      <c r="L408" s="82" t="s">
        <v>602</v>
      </c>
    </row>
    <row r="409" spans="2:21" ht="15.95" customHeight="1">
      <c r="B409"/>
      <c r="C409" s="91"/>
      <c r="D409" s="835" t="s">
        <v>70</v>
      </c>
      <c r="E409" s="835"/>
      <c r="F409" s="835"/>
      <c r="G409" s="532">
        <v>6</v>
      </c>
      <c r="H409" s="532" t="s">
        <v>64</v>
      </c>
      <c r="I409" s="92">
        <f>G406*60%/6</f>
        <v>93500</v>
      </c>
      <c r="J409" s="92">
        <f>SUM(G409*I409)</f>
        <v>561000</v>
      </c>
      <c r="L409" s="82" t="s">
        <v>841</v>
      </c>
    </row>
    <row r="410" spans="2:21" ht="15.95" customHeight="1">
      <c r="B410"/>
      <c r="C410" s="91"/>
      <c r="D410" s="836" t="s">
        <v>215</v>
      </c>
      <c r="E410" s="836"/>
      <c r="F410" s="836"/>
      <c r="G410" s="532">
        <v>1</v>
      </c>
      <c r="H410" s="532" t="s">
        <v>217</v>
      </c>
      <c r="I410" s="92">
        <v>150000</v>
      </c>
      <c r="J410" s="92">
        <f t="shared" ref="J410:J411" si="33">SUM(G410*I410)</f>
        <v>150000</v>
      </c>
      <c r="L410" s="82" t="s">
        <v>744</v>
      </c>
    </row>
    <row r="411" spans="2:21" ht="15.95" customHeight="1">
      <c r="B411"/>
      <c r="C411" s="91"/>
      <c r="D411" s="836" t="s">
        <v>216</v>
      </c>
      <c r="E411" s="836"/>
      <c r="F411" s="836"/>
      <c r="G411" s="532">
        <v>1</v>
      </c>
      <c r="H411" s="532" t="s">
        <v>217</v>
      </c>
      <c r="I411" s="92">
        <v>50000</v>
      </c>
      <c r="J411" s="92">
        <f t="shared" si="33"/>
        <v>50000</v>
      </c>
      <c r="L411" s="82" t="s">
        <v>604</v>
      </c>
    </row>
    <row r="412" spans="2:21" ht="15.95" customHeight="1">
      <c r="B412"/>
      <c r="C412" s="96">
        <v>3</v>
      </c>
      <c r="D412" s="813" t="s">
        <v>32</v>
      </c>
      <c r="E412" s="813"/>
      <c r="F412" s="813"/>
      <c r="G412" s="519"/>
      <c r="H412" s="519"/>
      <c r="I412" s="97"/>
      <c r="J412" s="98">
        <f>SUM(J413:J420)</f>
        <v>11768700</v>
      </c>
      <c r="L412" s="82" t="s">
        <v>842</v>
      </c>
    </row>
    <row r="413" spans="2:21" ht="15.95" customHeight="1">
      <c r="B413"/>
      <c r="C413" s="96"/>
      <c r="D413" s="837" t="s">
        <v>628</v>
      </c>
      <c r="E413" s="838"/>
      <c r="F413" s="839"/>
      <c r="G413" s="789">
        <v>26</v>
      </c>
      <c r="H413" s="789" t="s">
        <v>644</v>
      </c>
      <c r="I413" s="92">
        <v>60000</v>
      </c>
      <c r="J413" s="97">
        <f>G413*I413</f>
        <v>1560000</v>
      </c>
    </row>
    <row r="414" spans="2:21" ht="15.95" customHeight="1">
      <c r="B414"/>
      <c r="C414" s="96"/>
      <c r="D414" s="836" t="s">
        <v>642</v>
      </c>
      <c r="E414" s="836"/>
      <c r="F414" s="836"/>
      <c r="G414" s="789">
        <v>15</v>
      </c>
      <c r="H414" s="789" t="s">
        <v>644</v>
      </c>
      <c r="I414" s="95">
        <v>70000</v>
      </c>
      <c r="J414" s="97">
        <f t="shared" ref="J414:J416" si="34">G414*I414</f>
        <v>1050000</v>
      </c>
    </row>
    <row r="415" spans="2:21" ht="15.95" customHeight="1">
      <c r="B415"/>
      <c r="C415" s="96"/>
      <c r="D415" s="837" t="s">
        <v>715</v>
      </c>
      <c r="E415" s="838"/>
      <c r="F415" s="839"/>
      <c r="G415" s="789">
        <v>24</v>
      </c>
      <c r="H415" s="789" t="s">
        <v>722</v>
      </c>
      <c r="I415" s="95">
        <v>27600</v>
      </c>
      <c r="J415" s="97">
        <f t="shared" si="34"/>
        <v>662400</v>
      </c>
    </row>
    <row r="416" spans="2:21" ht="15.95" customHeight="1">
      <c r="B416"/>
      <c r="C416" s="96"/>
      <c r="D416" s="837" t="s">
        <v>719</v>
      </c>
      <c r="E416" s="838"/>
      <c r="F416" s="839"/>
      <c r="G416" s="789">
        <v>5</v>
      </c>
      <c r="H416" s="789" t="s">
        <v>217</v>
      </c>
      <c r="I416" s="95">
        <v>14500</v>
      </c>
      <c r="J416" s="97">
        <f t="shared" si="34"/>
        <v>72500</v>
      </c>
    </row>
    <row r="417" spans="2:13" ht="15.95" customHeight="1">
      <c r="B417"/>
      <c r="C417" s="94"/>
      <c r="D417" s="834" t="s">
        <v>701</v>
      </c>
      <c r="E417" s="835"/>
      <c r="F417" s="835"/>
      <c r="G417" s="532">
        <v>6</v>
      </c>
      <c r="H417" s="532" t="s">
        <v>241</v>
      </c>
      <c r="I417" s="97">
        <v>300000</v>
      </c>
      <c r="J417" s="97">
        <f>G417*I417</f>
        <v>1800000</v>
      </c>
      <c r="L417" s="82" t="s">
        <v>843</v>
      </c>
      <c r="M417" s="82">
        <v>107</v>
      </c>
    </row>
    <row r="418" spans="2:13" ht="15.95" customHeight="1">
      <c r="B418"/>
      <c r="C418" s="94"/>
      <c r="D418" s="834" t="s">
        <v>758</v>
      </c>
      <c r="E418" s="835"/>
      <c r="F418" s="835"/>
      <c r="G418" s="532">
        <v>53</v>
      </c>
      <c r="H418" s="532" t="s">
        <v>288</v>
      </c>
      <c r="I418" s="97">
        <v>75000</v>
      </c>
      <c r="J418" s="97">
        <f t="shared" ref="J418:J420" si="35">G418*I418</f>
        <v>3975000</v>
      </c>
    </row>
    <row r="419" spans="2:13" ht="15.95" customHeight="1">
      <c r="B419"/>
      <c r="C419" s="94"/>
      <c r="D419" s="902" t="s">
        <v>708</v>
      </c>
      <c r="E419" s="900"/>
      <c r="F419" s="901"/>
      <c r="G419" s="252">
        <v>9</v>
      </c>
      <c r="H419" s="532" t="s">
        <v>241</v>
      </c>
      <c r="I419" s="97">
        <v>280000</v>
      </c>
      <c r="J419" s="97">
        <f t="shared" si="35"/>
        <v>2520000</v>
      </c>
    </row>
    <row r="420" spans="2:13" ht="15.95" customHeight="1">
      <c r="B420"/>
      <c r="C420" s="94"/>
      <c r="D420" s="902" t="s">
        <v>806</v>
      </c>
      <c r="E420" s="900"/>
      <c r="F420" s="901"/>
      <c r="G420" s="532">
        <v>8</v>
      </c>
      <c r="H420" s="532" t="s">
        <v>250</v>
      </c>
      <c r="I420" s="97">
        <v>16100</v>
      </c>
      <c r="J420" s="97">
        <f t="shared" si="35"/>
        <v>128800</v>
      </c>
      <c r="L420" s="82">
        <f>G420+124</f>
        <v>132</v>
      </c>
    </row>
    <row r="421" spans="2:13" ht="15.95" customHeight="1">
      <c r="B421"/>
      <c r="C421" s="94"/>
      <c r="D421" s="811" t="s">
        <v>221</v>
      </c>
      <c r="E421" s="811"/>
      <c r="F421" s="811"/>
      <c r="G421" s="532"/>
      <c r="H421" s="532"/>
      <c r="I421" s="95"/>
      <c r="J421" s="109">
        <f>J403</f>
        <v>13403700</v>
      </c>
    </row>
    <row r="422" spans="2:13" ht="29.25" customHeight="1">
      <c r="B422"/>
      <c r="C422" s="200" t="s">
        <v>468</v>
      </c>
      <c r="D422" s="820" t="s">
        <v>807</v>
      </c>
      <c r="E422" s="820"/>
      <c r="F422" s="820"/>
      <c r="G422" s="821" t="s">
        <v>809</v>
      </c>
      <c r="H422" s="821"/>
      <c r="I422" s="87"/>
      <c r="J422" s="264">
        <f>SUM(J423+J431)</f>
        <v>23289800</v>
      </c>
      <c r="L422" s="82">
        <v>150000000</v>
      </c>
    </row>
    <row r="423" spans="2:13" ht="15.95" customHeight="1">
      <c r="B423"/>
      <c r="C423" s="88">
        <v>2</v>
      </c>
      <c r="D423" s="820" t="s">
        <v>34</v>
      </c>
      <c r="E423" s="820"/>
      <c r="F423" s="820"/>
      <c r="G423" s="532" t="s">
        <v>630</v>
      </c>
      <c r="H423" s="532" t="s">
        <v>631</v>
      </c>
      <c r="I423" s="533" t="s">
        <v>794</v>
      </c>
      <c r="J423" s="99">
        <f>SUM(J424:J430)</f>
        <v>2325000</v>
      </c>
      <c r="L423" s="82">
        <f>L422-J429</f>
        <v>149850000</v>
      </c>
    </row>
    <row r="424" spans="2:13" ht="15.95" customHeight="1">
      <c r="B424"/>
      <c r="C424" s="91"/>
      <c r="D424" s="822" t="s">
        <v>214</v>
      </c>
      <c r="E424" s="822"/>
      <c r="F424" s="822"/>
      <c r="G424" s="532">
        <v>1</v>
      </c>
      <c r="H424" s="197" t="s">
        <v>233</v>
      </c>
      <c r="I424" s="92">
        <v>500000</v>
      </c>
      <c r="J424" s="92">
        <f>G424*I424</f>
        <v>500000</v>
      </c>
    </row>
    <row r="425" spans="2:13" ht="15.95" customHeight="1">
      <c r="B425"/>
      <c r="C425" s="91"/>
      <c r="D425" s="823" t="s">
        <v>41</v>
      </c>
      <c r="E425" s="823"/>
      <c r="F425" s="823"/>
      <c r="G425" s="937">
        <v>1625000</v>
      </c>
      <c r="H425" s="937"/>
      <c r="I425" s="92"/>
      <c r="J425" s="92"/>
      <c r="K425" s="82">
        <f>J422*7.5%</f>
        <v>1746735</v>
      </c>
      <c r="L425" s="82">
        <v>5</v>
      </c>
      <c r="M425" s="82">
        <f>I425*L425</f>
        <v>0</v>
      </c>
    </row>
    <row r="426" spans="2:13" ht="15.95" customHeight="1">
      <c r="B426"/>
      <c r="C426" s="91"/>
      <c r="D426" s="835" t="s">
        <v>207</v>
      </c>
      <c r="E426" s="835"/>
      <c r="F426" s="835"/>
      <c r="G426" s="532">
        <v>1</v>
      </c>
      <c r="H426" s="532" t="s">
        <v>64</v>
      </c>
      <c r="I426" s="92">
        <f>G425*25%</f>
        <v>406250</v>
      </c>
      <c r="J426" s="92">
        <f>SUM(G426*I426)</f>
        <v>406250</v>
      </c>
      <c r="L426" s="82">
        <v>2</v>
      </c>
      <c r="M426" s="82">
        <f t="shared" ref="M426:M428" si="36">I426*L426</f>
        <v>812500</v>
      </c>
    </row>
    <row r="427" spans="2:13" ht="15.95" customHeight="1">
      <c r="B427"/>
      <c r="C427" s="91"/>
      <c r="D427" s="835" t="s">
        <v>695</v>
      </c>
      <c r="E427" s="835"/>
      <c r="F427" s="835"/>
      <c r="G427" s="532">
        <v>1</v>
      </c>
      <c r="H427" s="532" t="s">
        <v>64</v>
      </c>
      <c r="I427" s="92">
        <f>G425*15%</f>
        <v>243750</v>
      </c>
      <c r="J427" s="92">
        <f>SUM(G427*I427)</f>
        <v>243750</v>
      </c>
      <c r="L427" s="82">
        <v>20</v>
      </c>
      <c r="M427" s="82">
        <f t="shared" si="36"/>
        <v>4875000</v>
      </c>
    </row>
    <row r="428" spans="2:13" ht="15.95" customHeight="1">
      <c r="B428"/>
      <c r="C428" s="91"/>
      <c r="D428" s="835" t="s">
        <v>70</v>
      </c>
      <c r="E428" s="835"/>
      <c r="F428" s="835"/>
      <c r="G428" s="532">
        <v>6</v>
      </c>
      <c r="H428" s="532" t="s">
        <v>64</v>
      </c>
      <c r="I428" s="92">
        <f>G425*60%/6</f>
        <v>162500</v>
      </c>
      <c r="J428" s="92">
        <f>SUM(G428*I428)</f>
        <v>975000</v>
      </c>
      <c r="L428" s="82">
        <v>10</v>
      </c>
      <c r="M428" s="82">
        <f t="shared" si="36"/>
        <v>1625000</v>
      </c>
    </row>
    <row r="429" spans="2:13" ht="15.95" customHeight="1">
      <c r="B429"/>
      <c r="C429" s="91"/>
      <c r="D429" s="836" t="s">
        <v>215</v>
      </c>
      <c r="E429" s="836"/>
      <c r="F429" s="836"/>
      <c r="G429" s="532">
        <v>1</v>
      </c>
      <c r="H429" s="532" t="s">
        <v>217</v>
      </c>
      <c r="I429" s="92">
        <v>150000</v>
      </c>
      <c r="J429" s="92">
        <f t="shared" ref="J429:J430" si="37">SUM(G429*I429)</f>
        <v>150000</v>
      </c>
      <c r="L429" s="509" t="s">
        <v>844</v>
      </c>
      <c r="M429" s="82">
        <f>SUM(M425:M428)</f>
        <v>7312500</v>
      </c>
    </row>
    <row r="430" spans="2:13" ht="15.95" customHeight="1">
      <c r="B430"/>
      <c r="C430" s="91"/>
      <c r="D430" s="836" t="s">
        <v>216</v>
      </c>
      <c r="E430" s="836"/>
      <c r="F430" s="836"/>
      <c r="G430" s="532">
        <v>1</v>
      </c>
      <c r="H430" s="532" t="s">
        <v>217</v>
      </c>
      <c r="I430" s="92">
        <v>50000</v>
      </c>
      <c r="J430" s="92">
        <f t="shared" si="37"/>
        <v>50000</v>
      </c>
    </row>
    <row r="431" spans="2:13" ht="15.95" customHeight="1">
      <c r="B431"/>
      <c r="C431" s="96">
        <v>3</v>
      </c>
      <c r="D431" s="813" t="s">
        <v>32</v>
      </c>
      <c r="E431" s="813"/>
      <c r="F431" s="813"/>
      <c r="G431" s="519"/>
      <c r="H431" s="519"/>
      <c r="I431" s="97"/>
      <c r="J431" s="98">
        <f>SUM(J432:J442)</f>
        <v>20964800</v>
      </c>
    </row>
    <row r="432" spans="2:13" ht="15.95" customHeight="1">
      <c r="B432"/>
      <c r="C432" s="96"/>
      <c r="D432" s="837" t="s">
        <v>628</v>
      </c>
      <c r="E432" s="838"/>
      <c r="F432" s="839"/>
      <c r="G432" s="789">
        <v>51</v>
      </c>
      <c r="H432" s="789" t="s">
        <v>644</v>
      </c>
      <c r="I432" s="92">
        <v>60000</v>
      </c>
      <c r="J432" s="92">
        <f t="shared" ref="J432:J435" si="38">SUM(G432*I432)</f>
        <v>3060000</v>
      </c>
    </row>
    <row r="433" spans="2:11" ht="15.95" customHeight="1">
      <c r="B433"/>
      <c r="C433" s="96"/>
      <c r="D433" s="836" t="s">
        <v>642</v>
      </c>
      <c r="E433" s="836"/>
      <c r="F433" s="836"/>
      <c r="G433" s="789">
        <v>27</v>
      </c>
      <c r="H433" s="789" t="s">
        <v>644</v>
      </c>
      <c r="I433" s="95">
        <v>70000</v>
      </c>
      <c r="J433" s="92">
        <f t="shared" si="38"/>
        <v>1890000</v>
      </c>
    </row>
    <row r="434" spans="2:11" ht="15.95" customHeight="1">
      <c r="B434"/>
      <c r="C434" s="96"/>
      <c r="D434" s="837" t="s">
        <v>715</v>
      </c>
      <c r="E434" s="838"/>
      <c r="F434" s="839"/>
      <c r="G434" s="789">
        <v>10</v>
      </c>
      <c r="H434" s="789" t="s">
        <v>722</v>
      </c>
      <c r="I434" s="95">
        <v>27600</v>
      </c>
      <c r="J434" s="89">
        <f t="shared" si="38"/>
        <v>276000</v>
      </c>
    </row>
    <row r="435" spans="2:11" ht="15.95" customHeight="1">
      <c r="B435"/>
      <c r="C435" s="96"/>
      <c r="D435" s="837" t="s">
        <v>719</v>
      </c>
      <c r="E435" s="838"/>
      <c r="F435" s="839"/>
      <c r="G435" s="789">
        <v>10</v>
      </c>
      <c r="H435" s="789" t="s">
        <v>217</v>
      </c>
      <c r="I435" s="95">
        <v>14500</v>
      </c>
      <c r="J435" s="89">
        <f t="shared" si="38"/>
        <v>145000</v>
      </c>
    </row>
    <row r="436" spans="2:11" ht="15.95" customHeight="1">
      <c r="B436"/>
      <c r="C436" s="94"/>
      <c r="D436" s="834" t="s">
        <v>701</v>
      </c>
      <c r="E436" s="835"/>
      <c r="F436" s="835"/>
      <c r="G436" s="532">
        <v>7</v>
      </c>
      <c r="H436" s="532" t="s">
        <v>241</v>
      </c>
      <c r="I436" s="97">
        <v>300000</v>
      </c>
      <c r="J436" s="97">
        <f>G436*I436</f>
        <v>2100000</v>
      </c>
    </row>
    <row r="437" spans="2:11" ht="18" customHeight="1">
      <c r="B437"/>
      <c r="C437" s="94"/>
      <c r="D437" s="834" t="s">
        <v>758</v>
      </c>
      <c r="E437" s="835"/>
      <c r="F437" s="835"/>
      <c r="G437" s="532">
        <v>66</v>
      </c>
      <c r="H437" s="532" t="s">
        <v>288</v>
      </c>
      <c r="I437" s="97">
        <v>75000</v>
      </c>
      <c r="J437" s="97">
        <f t="shared" ref="J437:J442" si="39">G437*I437</f>
        <v>4950000</v>
      </c>
    </row>
    <row r="438" spans="2:11" ht="18" customHeight="1">
      <c r="B438"/>
      <c r="C438" s="94"/>
      <c r="D438" s="902" t="s">
        <v>708</v>
      </c>
      <c r="E438" s="900"/>
      <c r="F438" s="901"/>
      <c r="G438" s="252">
        <v>12</v>
      </c>
      <c r="H438" s="532" t="s">
        <v>241</v>
      </c>
      <c r="I438" s="97">
        <v>280000</v>
      </c>
      <c r="J438" s="97">
        <f t="shared" si="39"/>
        <v>3360000</v>
      </c>
    </row>
    <row r="439" spans="2:11" ht="18" customHeight="1">
      <c r="B439"/>
      <c r="C439" s="94"/>
      <c r="D439" s="902" t="s">
        <v>810</v>
      </c>
      <c r="E439" s="915"/>
      <c r="F439" s="916"/>
      <c r="G439" s="252">
        <v>9</v>
      </c>
      <c r="H439" s="532" t="s">
        <v>241</v>
      </c>
      <c r="I439" s="97">
        <v>115000</v>
      </c>
      <c r="J439" s="97">
        <f t="shared" si="39"/>
        <v>1035000</v>
      </c>
    </row>
    <row r="440" spans="2:11" ht="18" customHeight="1">
      <c r="B440"/>
      <c r="C440" s="94"/>
      <c r="D440" s="902" t="s">
        <v>808</v>
      </c>
      <c r="E440" s="915"/>
      <c r="F440" s="916"/>
      <c r="G440" s="252">
        <v>3</v>
      </c>
      <c r="H440" s="532" t="s">
        <v>241</v>
      </c>
      <c r="I440" s="97">
        <v>220000</v>
      </c>
      <c r="J440" s="97">
        <f t="shared" si="39"/>
        <v>660000</v>
      </c>
    </row>
    <row r="441" spans="2:11" ht="15.95" customHeight="1">
      <c r="B441"/>
      <c r="C441" s="94"/>
      <c r="D441" s="902" t="s">
        <v>703</v>
      </c>
      <c r="E441" s="915"/>
      <c r="F441" s="916"/>
      <c r="G441" s="532">
        <v>4200</v>
      </c>
      <c r="H441" s="532" t="s">
        <v>217</v>
      </c>
      <c r="I441" s="97">
        <v>800</v>
      </c>
      <c r="J441" s="97">
        <f t="shared" si="39"/>
        <v>3360000</v>
      </c>
    </row>
    <row r="442" spans="2:11" ht="18" customHeight="1">
      <c r="B442"/>
      <c r="C442" s="94"/>
      <c r="D442" s="902" t="s">
        <v>806</v>
      </c>
      <c r="E442" s="900"/>
      <c r="F442" s="901"/>
      <c r="G442" s="532">
        <v>8</v>
      </c>
      <c r="H442" s="532" t="s">
        <v>250</v>
      </c>
      <c r="I442" s="97">
        <v>16100</v>
      </c>
      <c r="J442" s="97">
        <f t="shared" si="39"/>
        <v>128800</v>
      </c>
    </row>
    <row r="443" spans="2:11" ht="21" customHeight="1">
      <c r="B443"/>
      <c r="C443" s="94"/>
      <c r="D443" s="811" t="s">
        <v>221</v>
      </c>
      <c r="E443" s="811"/>
      <c r="F443" s="811"/>
      <c r="G443" s="532"/>
      <c r="H443" s="532"/>
      <c r="I443" s="95"/>
      <c r="J443" s="109">
        <f>J422</f>
        <v>23289800</v>
      </c>
    </row>
    <row r="444" spans="2:11" ht="33" customHeight="1">
      <c r="B444"/>
      <c r="C444" s="200" t="s">
        <v>469</v>
      </c>
      <c r="D444" s="820" t="s">
        <v>826</v>
      </c>
      <c r="E444" s="820"/>
      <c r="F444" s="820"/>
      <c r="G444" s="821" t="s">
        <v>824</v>
      </c>
      <c r="H444" s="821"/>
      <c r="I444" s="87"/>
      <c r="J444" s="264">
        <f>J445+J453</f>
        <v>10905300</v>
      </c>
    </row>
    <row r="445" spans="2:11" ht="18" customHeight="1">
      <c r="B445"/>
      <c r="C445" s="88">
        <v>2</v>
      </c>
      <c r="D445" s="820" t="s">
        <v>34</v>
      </c>
      <c r="E445" s="820"/>
      <c r="F445" s="820"/>
      <c r="G445" s="532" t="s">
        <v>630</v>
      </c>
      <c r="H445" s="532" t="s">
        <v>631</v>
      </c>
      <c r="I445" s="533" t="s">
        <v>825</v>
      </c>
      <c r="J445" s="99">
        <f>SUM(J446:J452)</f>
        <v>1211000</v>
      </c>
    </row>
    <row r="446" spans="2:11" ht="18" customHeight="1">
      <c r="B446"/>
      <c r="C446" s="91"/>
      <c r="D446" s="822" t="s">
        <v>214</v>
      </c>
      <c r="E446" s="822"/>
      <c r="F446" s="822"/>
      <c r="G446" s="532">
        <v>1</v>
      </c>
      <c r="H446" s="532" t="s">
        <v>233</v>
      </c>
      <c r="I446" s="92">
        <v>250000</v>
      </c>
      <c r="J446" s="92">
        <f>G446*I446</f>
        <v>250000</v>
      </c>
    </row>
    <row r="447" spans="2:11" ht="18" customHeight="1">
      <c r="B447"/>
      <c r="C447" s="91"/>
      <c r="D447" s="823" t="s">
        <v>41</v>
      </c>
      <c r="E447" s="823"/>
      <c r="F447" s="823"/>
      <c r="G447" s="937">
        <v>761000</v>
      </c>
      <c r="H447" s="937"/>
      <c r="I447" s="92"/>
      <c r="J447" s="92"/>
      <c r="K447" s="82">
        <f>J444*7.5%</f>
        <v>817897.5</v>
      </c>
    </row>
    <row r="448" spans="2:11" ht="18" customHeight="1">
      <c r="B448"/>
      <c r="C448" s="91"/>
      <c r="D448" s="835" t="s">
        <v>207</v>
      </c>
      <c r="E448" s="835"/>
      <c r="F448" s="835"/>
      <c r="G448" s="532">
        <v>1</v>
      </c>
      <c r="H448" s="532" t="s">
        <v>64</v>
      </c>
      <c r="I448" s="92">
        <f>G447*25%</f>
        <v>190250</v>
      </c>
      <c r="J448" s="92">
        <f>SUM(G448*I448)</f>
        <v>190250</v>
      </c>
    </row>
    <row r="449" spans="2:10" ht="15.95" customHeight="1">
      <c r="B449"/>
      <c r="C449" s="91"/>
      <c r="D449" s="835" t="s">
        <v>695</v>
      </c>
      <c r="E449" s="835"/>
      <c r="F449" s="835"/>
      <c r="G449" s="532">
        <v>1</v>
      </c>
      <c r="H449" s="532" t="s">
        <v>64</v>
      </c>
      <c r="I449" s="92">
        <f>G447*15%</f>
        <v>114150</v>
      </c>
      <c r="J449" s="92">
        <f>SUM(G449*I449)</f>
        <v>114150</v>
      </c>
    </row>
    <row r="450" spans="2:10" ht="15.95" customHeight="1">
      <c r="B450"/>
      <c r="C450" s="91"/>
      <c r="D450" s="835" t="s">
        <v>70</v>
      </c>
      <c r="E450" s="835"/>
      <c r="F450" s="835"/>
      <c r="G450" s="532">
        <v>6</v>
      </c>
      <c r="H450" s="532" t="s">
        <v>64</v>
      </c>
      <c r="I450" s="92">
        <f>G447*60%/6</f>
        <v>76100</v>
      </c>
      <c r="J450" s="92">
        <f>SUM(G450*I450)</f>
        <v>456600</v>
      </c>
    </row>
    <row r="451" spans="2:10" ht="15.95" customHeight="1">
      <c r="B451"/>
      <c r="C451" s="91"/>
      <c r="D451" s="836" t="s">
        <v>215</v>
      </c>
      <c r="E451" s="836"/>
      <c r="F451" s="836"/>
      <c r="G451" s="532">
        <v>1</v>
      </c>
      <c r="H451" s="532" t="s">
        <v>217</v>
      </c>
      <c r="I451" s="92">
        <v>150000</v>
      </c>
      <c r="J451" s="92">
        <f t="shared" ref="J451:J452" si="40">SUM(G451*I451)</f>
        <v>150000</v>
      </c>
    </row>
    <row r="452" spans="2:10" ht="15.95" customHeight="1">
      <c r="B452"/>
      <c r="C452" s="91"/>
      <c r="D452" s="836" t="s">
        <v>216</v>
      </c>
      <c r="E452" s="836"/>
      <c r="F452" s="836"/>
      <c r="G452" s="532">
        <v>1</v>
      </c>
      <c r="H452" s="532" t="s">
        <v>217</v>
      </c>
      <c r="I452" s="92">
        <v>50000</v>
      </c>
      <c r="J452" s="92">
        <f t="shared" si="40"/>
        <v>50000</v>
      </c>
    </row>
    <row r="453" spans="2:10" ht="18" customHeight="1">
      <c r="B453"/>
      <c r="C453" s="96">
        <v>3</v>
      </c>
      <c r="D453" s="813" t="s">
        <v>32</v>
      </c>
      <c r="E453" s="813"/>
      <c r="F453" s="813"/>
      <c r="G453" s="519"/>
      <c r="H453" s="519"/>
      <c r="I453" s="97"/>
      <c r="J453" s="98">
        <f>SUM(J454:J461)</f>
        <v>9694300</v>
      </c>
    </row>
    <row r="454" spans="2:10" ht="18" customHeight="1">
      <c r="B454"/>
      <c r="C454" s="96"/>
      <c r="D454" s="837" t="s">
        <v>628</v>
      </c>
      <c r="E454" s="838"/>
      <c r="F454" s="839"/>
      <c r="G454" s="789">
        <v>22</v>
      </c>
      <c r="H454" s="789" t="s">
        <v>644</v>
      </c>
      <c r="I454" s="92">
        <v>60000</v>
      </c>
      <c r="J454" s="92">
        <f t="shared" ref="J454:J457" si="41">SUM(G454*I454)</f>
        <v>1320000</v>
      </c>
    </row>
    <row r="455" spans="2:10" ht="18" customHeight="1">
      <c r="B455"/>
      <c r="C455" s="96"/>
      <c r="D455" s="836" t="s">
        <v>642</v>
      </c>
      <c r="E455" s="836"/>
      <c r="F455" s="836"/>
      <c r="G455" s="789">
        <v>14</v>
      </c>
      <c r="H455" s="789" t="s">
        <v>644</v>
      </c>
      <c r="I455" s="95">
        <v>70000</v>
      </c>
      <c r="J455" s="92">
        <f t="shared" si="41"/>
        <v>980000</v>
      </c>
    </row>
    <row r="456" spans="2:10" ht="18" customHeight="1">
      <c r="B456"/>
      <c r="C456" s="96"/>
      <c r="D456" s="837" t="s">
        <v>715</v>
      </c>
      <c r="E456" s="838"/>
      <c r="F456" s="839"/>
      <c r="G456" s="789">
        <v>7</v>
      </c>
      <c r="H456" s="789" t="s">
        <v>699</v>
      </c>
      <c r="I456" s="95">
        <v>27600</v>
      </c>
      <c r="J456" s="89">
        <f t="shared" si="41"/>
        <v>193200</v>
      </c>
    </row>
    <row r="457" spans="2:10" ht="18" customHeight="1">
      <c r="B457"/>
      <c r="C457" s="96"/>
      <c r="D457" s="837" t="s">
        <v>719</v>
      </c>
      <c r="E457" s="838"/>
      <c r="F457" s="839"/>
      <c r="G457" s="789">
        <v>10</v>
      </c>
      <c r="H457" s="789" t="s">
        <v>217</v>
      </c>
      <c r="I457" s="95">
        <v>14500</v>
      </c>
      <c r="J457" s="89">
        <f t="shared" si="41"/>
        <v>145000</v>
      </c>
    </row>
    <row r="458" spans="2:10" ht="18" customHeight="1">
      <c r="B458"/>
      <c r="C458" s="94"/>
      <c r="D458" s="834" t="s">
        <v>701</v>
      </c>
      <c r="E458" s="835"/>
      <c r="F458" s="835"/>
      <c r="G458" s="532">
        <v>5</v>
      </c>
      <c r="H458" s="532" t="s">
        <v>241</v>
      </c>
      <c r="I458" s="97">
        <v>300000</v>
      </c>
      <c r="J458" s="97">
        <f>G458*I458</f>
        <v>1500000</v>
      </c>
    </row>
    <row r="459" spans="2:10" ht="18" customHeight="1">
      <c r="B459"/>
      <c r="C459" s="94"/>
      <c r="D459" s="834" t="s">
        <v>708</v>
      </c>
      <c r="E459" s="835"/>
      <c r="F459" s="835"/>
      <c r="G459" s="94">
        <v>8</v>
      </c>
      <c r="H459" s="94" t="s">
        <v>102</v>
      </c>
      <c r="I459" s="97">
        <v>280000</v>
      </c>
      <c r="J459" s="97">
        <f t="shared" ref="J459:J461" si="42">G459*I459</f>
        <v>2240000</v>
      </c>
    </row>
    <row r="460" spans="2:10" ht="18" customHeight="1">
      <c r="B460"/>
      <c r="C460" s="94"/>
      <c r="D460" s="834" t="s">
        <v>758</v>
      </c>
      <c r="E460" s="835"/>
      <c r="F460" s="835"/>
      <c r="G460" s="252">
        <v>44</v>
      </c>
      <c r="H460" s="532" t="s">
        <v>241</v>
      </c>
      <c r="I460" s="97">
        <v>75000</v>
      </c>
      <c r="J460" s="97">
        <f t="shared" si="42"/>
        <v>3300000</v>
      </c>
    </row>
    <row r="461" spans="2:10" ht="18" customHeight="1">
      <c r="B461"/>
      <c r="C461" s="94"/>
      <c r="D461" s="834" t="s">
        <v>776</v>
      </c>
      <c r="E461" s="835"/>
      <c r="F461" s="835"/>
      <c r="G461" s="532">
        <v>1</v>
      </c>
      <c r="H461" s="532" t="s">
        <v>250</v>
      </c>
      <c r="I461" s="97">
        <v>16100</v>
      </c>
      <c r="J461" s="97">
        <f t="shared" si="42"/>
        <v>16100</v>
      </c>
    </row>
    <row r="462" spans="2:10" ht="18" customHeight="1">
      <c r="B462"/>
      <c r="C462" s="101"/>
      <c r="D462" s="811" t="s">
        <v>221</v>
      </c>
      <c r="E462" s="811"/>
      <c r="F462" s="811"/>
      <c r="G462" s="812"/>
      <c r="H462" s="812"/>
      <c r="I462" s="102"/>
      <c r="J462" s="109">
        <f>J444</f>
        <v>10905300</v>
      </c>
    </row>
    <row r="463" spans="2:10" ht="33" customHeight="1">
      <c r="B463"/>
      <c r="C463" s="200" t="s">
        <v>470</v>
      </c>
      <c r="D463" s="820" t="s">
        <v>828</v>
      </c>
      <c r="E463" s="820"/>
      <c r="F463" s="820"/>
      <c r="G463" s="821" t="s">
        <v>827</v>
      </c>
      <c r="H463" s="821"/>
      <c r="I463" s="87"/>
      <c r="J463" s="264">
        <f>J464+J472</f>
        <v>17586300</v>
      </c>
    </row>
    <row r="464" spans="2:10" ht="18" customHeight="1">
      <c r="B464"/>
      <c r="C464" s="88">
        <v>2</v>
      </c>
      <c r="D464" s="820" t="s">
        <v>34</v>
      </c>
      <c r="E464" s="820"/>
      <c r="F464" s="820"/>
      <c r="G464" s="532" t="s">
        <v>630</v>
      </c>
      <c r="H464" s="532" t="s">
        <v>631</v>
      </c>
      <c r="I464" s="533" t="s">
        <v>825</v>
      </c>
      <c r="J464" s="99">
        <f>SUM(J465:J471)</f>
        <v>1677000</v>
      </c>
    </row>
    <row r="465" spans="2:11" ht="18" customHeight="1">
      <c r="B465"/>
      <c r="C465" s="91"/>
      <c r="D465" s="822" t="s">
        <v>214</v>
      </c>
      <c r="E465" s="822"/>
      <c r="F465" s="822"/>
      <c r="G465" s="532">
        <v>1</v>
      </c>
      <c r="H465" s="532" t="s">
        <v>233</v>
      </c>
      <c r="I465" s="92">
        <v>250000</v>
      </c>
      <c r="J465" s="92">
        <f>G465*I465</f>
        <v>250000</v>
      </c>
    </row>
    <row r="466" spans="2:11" ht="18" customHeight="1">
      <c r="B466"/>
      <c r="C466" s="91"/>
      <c r="D466" s="823" t="s">
        <v>41</v>
      </c>
      <c r="E466" s="823"/>
      <c r="F466" s="823"/>
      <c r="G466" s="937">
        <v>1227000</v>
      </c>
      <c r="H466" s="937"/>
      <c r="I466" s="92"/>
      <c r="J466" s="92"/>
      <c r="K466" s="82">
        <f>J463*7.5%</f>
        <v>1318972.5</v>
      </c>
    </row>
    <row r="467" spans="2:11" ht="18" customHeight="1">
      <c r="B467"/>
      <c r="C467" s="91"/>
      <c r="D467" s="835" t="s">
        <v>207</v>
      </c>
      <c r="E467" s="835"/>
      <c r="F467" s="835"/>
      <c r="G467" s="532">
        <v>1</v>
      </c>
      <c r="H467" s="532" t="s">
        <v>64</v>
      </c>
      <c r="I467" s="92">
        <f>G466*25%</f>
        <v>306750</v>
      </c>
      <c r="J467" s="92">
        <f>SUM(G467*I467)</f>
        <v>306750</v>
      </c>
    </row>
    <row r="468" spans="2:11" ht="18" customHeight="1">
      <c r="B468"/>
      <c r="C468" s="91"/>
      <c r="D468" s="835" t="s">
        <v>695</v>
      </c>
      <c r="E468" s="835"/>
      <c r="F468" s="835"/>
      <c r="G468" s="532">
        <v>1</v>
      </c>
      <c r="H468" s="532" t="s">
        <v>64</v>
      </c>
      <c r="I468" s="92">
        <f>G466*15%</f>
        <v>184050</v>
      </c>
      <c r="J468" s="92">
        <f>SUM(G468*I468)</f>
        <v>184050</v>
      </c>
    </row>
    <row r="469" spans="2:11" ht="18" customHeight="1">
      <c r="B469"/>
      <c r="C469" s="91"/>
      <c r="D469" s="835" t="s">
        <v>70</v>
      </c>
      <c r="E469" s="835"/>
      <c r="F469" s="835"/>
      <c r="G469" s="532">
        <v>6</v>
      </c>
      <c r="H469" s="532" t="s">
        <v>64</v>
      </c>
      <c r="I469" s="92">
        <f>G466*60%/6</f>
        <v>122700</v>
      </c>
      <c r="J469" s="92">
        <f>SUM(G469*I469)</f>
        <v>736200</v>
      </c>
    </row>
    <row r="470" spans="2:11" ht="18" customHeight="1">
      <c r="B470"/>
      <c r="C470" s="91"/>
      <c r="D470" s="836" t="s">
        <v>215</v>
      </c>
      <c r="E470" s="836"/>
      <c r="F470" s="836"/>
      <c r="G470" s="532">
        <v>1</v>
      </c>
      <c r="H470" s="532" t="s">
        <v>217</v>
      </c>
      <c r="I470" s="92">
        <v>150000</v>
      </c>
      <c r="J470" s="92">
        <f t="shared" ref="J470:J471" si="43">SUM(G470*I470)</f>
        <v>150000</v>
      </c>
    </row>
    <row r="471" spans="2:11" ht="18" customHeight="1">
      <c r="B471"/>
      <c r="C471" s="91"/>
      <c r="D471" s="836" t="s">
        <v>216</v>
      </c>
      <c r="E471" s="836"/>
      <c r="F471" s="836"/>
      <c r="G471" s="532">
        <v>1</v>
      </c>
      <c r="H471" s="532" t="s">
        <v>217</v>
      </c>
      <c r="I471" s="92">
        <v>50000</v>
      </c>
      <c r="J471" s="92">
        <f t="shared" si="43"/>
        <v>50000</v>
      </c>
    </row>
    <row r="472" spans="2:11" ht="18" customHeight="1">
      <c r="B472"/>
      <c r="C472" s="96">
        <v>3</v>
      </c>
      <c r="D472" s="813" t="s">
        <v>32</v>
      </c>
      <c r="E472" s="813"/>
      <c r="F472" s="813"/>
      <c r="G472" s="519"/>
      <c r="H472" s="519"/>
      <c r="I472" s="97"/>
      <c r="J472" s="98">
        <f>SUM(J473:J480)</f>
        <v>15909300</v>
      </c>
    </row>
    <row r="473" spans="2:11" ht="18" customHeight="1">
      <c r="B473"/>
      <c r="C473" s="96"/>
      <c r="D473" s="837" t="s">
        <v>628</v>
      </c>
      <c r="E473" s="838"/>
      <c r="F473" s="839"/>
      <c r="G473" s="789">
        <v>38</v>
      </c>
      <c r="H473" s="789" t="s">
        <v>644</v>
      </c>
      <c r="I473" s="92">
        <v>60000</v>
      </c>
      <c r="J473" s="92">
        <f t="shared" ref="J473:J476" si="44">SUM(G473*I473)</f>
        <v>2280000</v>
      </c>
    </row>
    <row r="474" spans="2:11" ht="18" customHeight="1">
      <c r="B474"/>
      <c r="C474" s="96"/>
      <c r="D474" s="836" t="s">
        <v>642</v>
      </c>
      <c r="E474" s="836"/>
      <c r="F474" s="836"/>
      <c r="G474" s="789">
        <v>23</v>
      </c>
      <c r="H474" s="789" t="s">
        <v>644</v>
      </c>
      <c r="I474" s="95">
        <v>70000</v>
      </c>
      <c r="J474" s="92">
        <f t="shared" si="44"/>
        <v>1610000</v>
      </c>
    </row>
    <row r="475" spans="2:11" ht="18" customHeight="1">
      <c r="B475"/>
      <c r="C475" s="96"/>
      <c r="D475" s="837" t="s">
        <v>715</v>
      </c>
      <c r="E475" s="838"/>
      <c r="F475" s="839"/>
      <c r="G475" s="789">
        <v>7</v>
      </c>
      <c r="H475" s="789" t="s">
        <v>699</v>
      </c>
      <c r="I475" s="95">
        <v>27600</v>
      </c>
      <c r="J475" s="89">
        <f t="shared" si="44"/>
        <v>193200</v>
      </c>
    </row>
    <row r="476" spans="2:11" ht="18" customHeight="1">
      <c r="B476"/>
      <c r="C476" s="96"/>
      <c r="D476" s="837" t="s">
        <v>719</v>
      </c>
      <c r="E476" s="838"/>
      <c r="F476" s="839"/>
      <c r="G476" s="789">
        <v>10</v>
      </c>
      <c r="H476" s="789" t="s">
        <v>217</v>
      </c>
      <c r="I476" s="95">
        <v>14500</v>
      </c>
      <c r="J476" s="89">
        <f t="shared" si="44"/>
        <v>145000</v>
      </c>
    </row>
    <row r="477" spans="2:11" ht="18" customHeight="1">
      <c r="B477"/>
      <c r="C477" s="94"/>
      <c r="D477" s="834" t="s">
        <v>701</v>
      </c>
      <c r="E477" s="835"/>
      <c r="F477" s="835"/>
      <c r="G477" s="532">
        <v>8</v>
      </c>
      <c r="H477" s="532" t="s">
        <v>241</v>
      </c>
      <c r="I477" s="97">
        <v>300000</v>
      </c>
      <c r="J477" s="97">
        <f>G477*I477</f>
        <v>2400000</v>
      </c>
    </row>
    <row r="478" spans="2:11" ht="18" customHeight="1">
      <c r="B478"/>
      <c r="C478" s="94"/>
      <c r="D478" s="834" t="s">
        <v>708</v>
      </c>
      <c r="E478" s="835"/>
      <c r="F478" s="835"/>
      <c r="G478" s="94">
        <v>13</v>
      </c>
      <c r="H478" s="94" t="s">
        <v>102</v>
      </c>
      <c r="I478" s="97">
        <v>280000</v>
      </c>
      <c r="J478" s="97">
        <f t="shared" ref="J478:J480" si="45">G478*I478</f>
        <v>3640000</v>
      </c>
    </row>
    <row r="479" spans="2:11" ht="18" customHeight="1">
      <c r="B479"/>
      <c r="C479" s="94"/>
      <c r="D479" s="834" t="s">
        <v>758</v>
      </c>
      <c r="E479" s="835"/>
      <c r="F479" s="835"/>
      <c r="G479" s="252">
        <v>75</v>
      </c>
      <c r="H479" s="532" t="s">
        <v>241</v>
      </c>
      <c r="I479" s="97">
        <v>75000</v>
      </c>
      <c r="J479" s="97">
        <f t="shared" si="45"/>
        <v>5625000</v>
      </c>
    </row>
    <row r="480" spans="2:11" ht="18" customHeight="1">
      <c r="B480"/>
      <c r="C480" s="94"/>
      <c r="D480" s="834" t="s">
        <v>776</v>
      </c>
      <c r="E480" s="835"/>
      <c r="F480" s="835"/>
      <c r="G480" s="532">
        <v>1</v>
      </c>
      <c r="H480" s="532" t="s">
        <v>250</v>
      </c>
      <c r="I480" s="97">
        <v>16100</v>
      </c>
      <c r="J480" s="97">
        <f t="shared" si="45"/>
        <v>16100</v>
      </c>
    </row>
    <row r="481" spans="2:12" ht="18" customHeight="1">
      <c r="B481"/>
      <c r="C481" s="101"/>
      <c r="D481" s="811" t="s">
        <v>221</v>
      </c>
      <c r="E481" s="811"/>
      <c r="F481" s="811"/>
      <c r="G481" s="812"/>
      <c r="H481" s="812"/>
      <c r="I481" s="102"/>
      <c r="J481" s="109">
        <f>J463</f>
        <v>17586300</v>
      </c>
    </row>
    <row r="482" spans="2:12" ht="33.75" customHeight="1">
      <c r="B482"/>
      <c r="C482" s="200" t="s">
        <v>488</v>
      </c>
      <c r="D482" s="820" t="s">
        <v>833</v>
      </c>
      <c r="E482" s="820"/>
      <c r="F482" s="820"/>
      <c r="G482" s="821" t="s">
        <v>829</v>
      </c>
      <c r="H482" s="821"/>
      <c r="I482" s="87"/>
      <c r="J482" s="264">
        <f>J483+J491</f>
        <v>21514300</v>
      </c>
    </row>
    <row r="483" spans="2:12" ht="15.95" customHeight="1">
      <c r="B483"/>
      <c r="C483" s="88">
        <v>2</v>
      </c>
      <c r="D483" s="820" t="s">
        <v>34</v>
      </c>
      <c r="E483" s="820"/>
      <c r="F483" s="820"/>
      <c r="G483" s="532" t="s">
        <v>630</v>
      </c>
      <c r="H483" s="532" t="s">
        <v>631</v>
      </c>
      <c r="I483" s="533" t="s">
        <v>825</v>
      </c>
      <c r="J483" s="99">
        <f>SUM(J484:J490)</f>
        <v>1951000</v>
      </c>
    </row>
    <row r="484" spans="2:12" ht="15.95" customHeight="1">
      <c r="B484"/>
      <c r="C484" s="91"/>
      <c r="D484" s="822" t="s">
        <v>214</v>
      </c>
      <c r="E484" s="822"/>
      <c r="F484" s="822"/>
      <c r="G484" s="532">
        <v>1</v>
      </c>
      <c r="H484" s="532" t="s">
        <v>233</v>
      </c>
      <c r="I484" s="92">
        <v>250000</v>
      </c>
      <c r="J484" s="92">
        <f>G484*I484</f>
        <v>250000</v>
      </c>
    </row>
    <row r="485" spans="2:12" ht="15.95" customHeight="1">
      <c r="B485"/>
      <c r="C485" s="91"/>
      <c r="D485" s="823" t="s">
        <v>41</v>
      </c>
      <c r="E485" s="823"/>
      <c r="F485" s="823"/>
      <c r="G485" s="937">
        <v>1501000</v>
      </c>
      <c r="H485" s="937"/>
      <c r="I485" s="92"/>
      <c r="J485" s="92"/>
      <c r="K485" s="82">
        <f>J482*7.5%</f>
        <v>1613572.5</v>
      </c>
    </row>
    <row r="486" spans="2:12" ht="15.95" customHeight="1">
      <c r="B486"/>
      <c r="C486" s="91"/>
      <c r="D486" s="835" t="s">
        <v>207</v>
      </c>
      <c r="E486" s="835"/>
      <c r="F486" s="835"/>
      <c r="G486" s="532">
        <v>1</v>
      </c>
      <c r="H486" s="532" t="s">
        <v>64</v>
      </c>
      <c r="I486" s="92">
        <f>G485*25%</f>
        <v>375250</v>
      </c>
      <c r="J486" s="92">
        <f>SUM(G486*I486)</f>
        <v>375250</v>
      </c>
    </row>
    <row r="487" spans="2:12" ht="15.95" customHeight="1">
      <c r="B487"/>
      <c r="C487" s="91"/>
      <c r="D487" s="835" t="s">
        <v>695</v>
      </c>
      <c r="E487" s="835"/>
      <c r="F487" s="835"/>
      <c r="G487" s="532">
        <v>1</v>
      </c>
      <c r="H487" s="532" t="s">
        <v>64</v>
      </c>
      <c r="I487" s="92">
        <f>G485*15%</f>
        <v>225150</v>
      </c>
      <c r="J487" s="92">
        <f>SUM(G487*I487)</f>
        <v>225150</v>
      </c>
    </row>
    <row r="488" spans="2:12" ht="15.95" customHeight="1">
      <c r="B488"/>
      <c r="C488" s="91"/>
      <c r="D488" s="835" t="s">
        <v>70</v>
      </c>
      <c r="E488" s="835"/>
      <c r="F488" s="835"/>
      <c r="G488" s="532">
        <v>6</v>
      </c>
      <c r="H488" s="532" t="s">
        <v>64</v>
      </c>
      <c r="I488" s="92">
        <f>G485*60%/6</f>
        <v>150100</v>
      </c>
      <c r="J488" s="92">
        <f>SUM(G488*I488)</f>
        <v>900600</v>
      </c>
    </row>
    <row r="489" spans="2:12" ht="15.95" customHeight="1">
      <c r="B489"/>
      <c r="C489" s="91"/>
      <c r="D489" s="836" t="s">
        <v>215</v>
      </c>
      <c r="E489" s="836"/>
      <c r="F489" s="836"/>
      <c r="G489" s="532">
        <v>1</v>
      </c>
      <c r="H489" s="532" t="s">
        <v>217</v>
      </c>
      <c r="I489" s="92">
        <v>150000</v>
      </c>
      <c r="J489" s="92">
        <f t="shared" ref="J489:J490" si="46">SUM(G489*I489)</f>
        <v>150000</v>
      </c>
    </row>
    <row r="490" spans="2:12" ht="15.95" customHeight="1">
      <c r="B490"/>
      <c r="C490" s="91"/>
      <c r="D490" s="836" t="s">
        <v>216</v>
      </c>
      <c r="E490" s="836"/>
      <c r="F490" s="836"/>
      <c r="G490" s="532">
        <v>1</v>
      </c>
      <c r="H490" s="532" t="s">
        <v>217</v>
      </c>
      <c r="I490" s="92">
        <v>50000</v>
      </c>
      <c r="J490" s="92">
        <f t="shared" si="46"/>
        <v>50000</v>
      </c>
    </row>
    <row r="491" spans="2:12" ht="15.95" customHeight="1">
      <c r="B491"/>
      <c r="C491" s="96">
        <v>3</v>
      </c>
      <c r="D491" s="813" t="s">
        <v>32</v>
      </c>
      <c r="E491" s="813"/>
      <c r="F491" s="813"/>
      <c r="G491" s="519"/>
      <c r="H491" s="519"/>
      <c r="I491" s="97"/>
      <c r="J491" s="98">
        <f>SUM(J492:J506)</f>
        <v>19563300</v>
      </c>
      <c r="L491" s="82" t="s">
        <v>742</v>
      </c>
    </row>
    <row r="492" spans="2:12" ht="15.95" customHeight="1">
      <c r="B492"/>
      <c r="C492" s="96"/>
      <c r="D492" s="837" t="s">
        <v>628</v>
      </c>
      <c r="E492" s="838"/>
      <c r="F492" s="839"/>
      <c r="G492" s="789">
        <v>41</v>
      </c>
      <c r="H492" s="789" t="s">
        <v>644</v>
      </c>
      <c r="I492" s="92">
        <v>60000</v>
      </c>
      <c r="J492" s="92">
        <f t="shared" ref="J492:J498" si="47">SUM(G492*I492)</f>
        <v>2460000</v>
      </c>
    </row>
    <row r="493" spans="2:12" ht="15.95" customHeight="1">
      <c r="B493"/>
      <c r="C493" s="96"/>
      <c r="D493" s="836" t="s">
        <v>642</v>
      </c>
      <c r="E493" s="836"/>
      <c r="F493" s="836"/>
      <c r="G493" s="789">
        <v>17</v>
      </c>
      <c r="H493" s="789" t="s">
        <v>644</v>
      </c>
      <c r="I493" s="95">
        <v>70000</v>
      </c>
      <c r="J493" s="92">
        <f t="shared" si="47"/>
        <v>1190000</v>
      </c>
    </row>
    <row r="494" spans="2:12" ht="15.95" customHeight="1">
      <c r="B494"/>
      <c r="C494" s="96"/>
      <c r="D494" s="837" t="s">
        <v>832</v>
      </c>
      <c r="E494" s="838"/>
      <c r="F494" s="839"/>
      <c r="G494" s="789">
        <v>13.8</v>
      </c>
      <c r="H494" s="789" t="s">
        <v>644</v>
      </c>
      <c r="I494" s="95">
        <v>60000</v>
      </c>
      <c r="J494" s="89">
        <f t="shared" si="47"/>
        <v>828000</v>
      </c>
    </row>
    <row r="495" spans="2:12" ht="15.95" customHeight="1">
      <c r="B495"/>
      <c r="C495" s="96"/>
      <c r="D495" s="837" t="s">
        <v>715</v>
      </c>
      <c r="E495" s="838"/>
      <c r="F495" s="839"/>
      <c r="G495" s="789">
        <v>7</v>
      </c>
      <c r="H495" s="789" t="s">
        <v>699</v>
      </c>
      <c r="I495" s="95">
        <v>27600</v>
      </c>
      <c r="J495" s="89">
        <f t="shared" si="47"/>
        <v>193200</v>
      </c>
    </row>
    <row r="496" spans="2:12" ht="15.95" customHeight="1">
      <c r="B496"/>
      <c r="C496" s="96"/>
      <c r="D496" s="837" t="s">
        <v>720</v>
      </c>
      <c r="E496" s="838"/>
      <c r="F496" s="839"/>
      <c r="G496" s="789">
        <v>1</v>
      </c>
      <c r="H496" s="789" t="s">
        <v>217</v>
      </c>
      <c r="I496" s="95">
        <v>75000</v>
      </c>
      <c r="J496" s="89">
        <f t="shared" si="47"/>
        <v>75000</v>
      </c>
    </row>
    <row r="497" spans="2:12" ht="15.95" customHeight="1">
      <c r="B497"/>
      <c r="C497" s="96"/>
      <c r="D497" s="837" t="s">
        <v>750</v>
      </c>
      <c r="E497" s="838"/>
      <c r="F497" s="839"/>
      <c r="G497" s="789">
        <v>3</v>
      </c>
      <c r="H497" s="789" t="s">
        <v>102</v>
      </c>
      <c r="I497" s="95">
        <v>25000</v>
      </c>
      <c r="J497" s="89">
        <f t="shared" si="47"/>
        <v>75000</v>
      </c>
    </row>
    <row r="498" spans="2:12" ht="15.95" customHeight="1">
      <c r="B498"/>
      <c r="C498" s="96"/>
      <c r="D498" s="837" t="s">
        <v>719</v>
      </c>
      <c r="E498" s="838"/>
      <c r="F498" s="839"/>
      <c r="G498" s="789">
        <v>10</v>
      </c>
      <c r="H498" s="789" t="s">
        <v>217</v>
      </c>
      <c r="I498" s="95">
        <v>14500</v>
      </c>
      <c r="J498" s="89">
        <f t="shared" si="47"/>
        <v>145000</v>
      </c>
    </row>
    <row r="499" spans="2:12" ht="15.95" customHeight="1">
      <c r="B499"/>
      <c r="C499" s="96"/>
      <c r="D499" s="903" t="s">
        <v>700</v>
      </c>
      <c r="E499" s="904"/>
      <c r="F499" s="905"/>
      <c r="G499" s="532">
        <v>1</v>
      </c>
      <c r="H499" s="532" t="s">
        <v>241</v>
      </c>
      <c r="I499" s="95">
        <v>220000</v>
      </c>
      <c r="J499" s="97">
        <f>G499*I499</f>
        <v>220000</v>
      </c>
      <c r="L499" s="82" t="s">
        <v>788</v>
      </c>
    </row>
    <row r="500" spans="2:12" ht="15.95" customHeight="1">
      <c r="B500"/>
      <c r="C500" s="96"/>
      <c r="D500" s="903" t="s">
        <v>703</v>
      </c>
      <c r="E500" s="904"/>
      <c r="F500" s="905"/>
      <c r="G500" s="532">
        <v>420</v>
      </c>
      <c r="H500" s="532" t="s">
        <v>217</v>
      </c>
      <c r="I500" s="95">
        <v>800</v>
      </c>
      <c r="J500" s="97">
        <f t="shared" ref="J500:J502" si="48">G500*I500</f>
        <v>336000</v>
      </c>
      <c r="L500" s="82" t="s">
        <v>290</v>
      </c>
    </row>
    <row r="501" spans="2:12" ht="15.95" customHeight="1">
      <c r="B501"/>
      <c r="C501" s="96"/>
      <c r="D501" s="903" t="s">
        <v>831</v>
      </c>
      <c r="E501" s="947"/>
      <c r="F501" s="948"/>
      <c r="G501" s="532">
        <v>115</v>
      </c>
      <c r="H501" s="532" t="s">
        <v>252</v>
      </c>
      <c r="I501" s="95">
        <v>55000</v>
      </c>
      <c r="J501" s="97">
        <f t="shared" si="48"/>
        <v>6325000</v>
      </c>
      <c r="L501" s="82" t="s">
        <v>287</v>
      </c>
    </row>
    <row r="502" spans="2:12" ht="15.95" customHeight="1">
      <c r="B502"/>
      <c r="C502" s="96"/>
      <c r="D502" s="903" t="s">
        <v>775</v>
      </c>
      <c r="E502" s="904"/>
      <c r="F502" s="905"/>
      <c r="G502" s="532">
        <v>6</v>
      </c>
      <c r="H502" s="532" t="s">
        <v>722</v>
      </c>
      <c r="I502" s="95">
        <v>60000</v>
      </c>
      <c r="J502" s="97">
        <f t="shared" si="48"/>
        <v>360000</v>
      </c>
      <c r="L502" s="82" t="s">
        <v>317</v>
      </c>
    </row>
    <row r="503" spans="2:12" ht="15.95" customHeight="1">
      <c r="B503"/>
      <c r="C503" s="94"/>
      <c r="D503" s="834" t="s">
        <v>701</v>
      </c>
      <c r="E503" s="835"/>
      <c r="F503" s="835"/>
      <c r="G503" s="532">
        <v>5</v>
      </c>
      <c r="H503" s="532" t="s">
        <v>241</v>
      </c>
      <c r="I503" s="97">
        <v>300000</v>
      </c>
      <c r="J503" s="97">
        <f>G503*I503</f>
        <v>1500000</v>
      </c>
      <c r="L503" s="82" t="s">
        <v>602</v>
      </c>
    </row>
    <row r="504" spans="2:12" ht="15.95" customHeight="1">
      <c r="B504"/>
      <c r="C504" s="94"/>
      <c r="D504" s="834" t="s">
        <v>708</v>
      </c>
      <c r="E504" s="835"/>
      <c r="F504" s="835"/>
      <c r="G504" s="94">
        <v>8</v>
      </c>
      <c r="H504" s="94" t="s">
        <v>102</v>
      </c>
      <c r="I504" s="97">
        <v>280000</v>
      </c>
      <c r="J504" s="97">
        <f t="shared" ref="J504:J506" si="49">G504*I504</f>
        <v>2240000</v>
      </c>
      <c r="L504" s="82" t="s">
        <v>743</v>
      </c>
    </row>
    <row r="505" spans="2:12" ht="15.95" customHeight="1">
      <c r="B505"/>
      <c r="C505" s="94"/>
      <c r="D505" s="834" t="s">
        <v>758</v>
      </c>
      <c r="E505" s="835"/>
      <c r="F505" s="835"/>
      <c r="G505" s="252">
        <v>48</v>
      </c>
      <c r="H505" s="532" t="s">
        <v>241</v>
      </c>
      <c r="I505" s="97">
        <v>75000</v>
      </c>
      <c r="J505" s="97">
        <f t="shared" si="49"/>
        <v>3600000</v>
      </c>
      <c r="L505" s="82" t="s">
        <v>789</v>
      </c>
    </row>
    <row r="506" spans="2:12" ht="15.95" customHeight="1">
      <c r="B506"/>
      <c r="C506" s="94"/>
      <c r="D506" s="834" t="s">
        <v>776</v>
      </c>
      <c r="E506" s="835"/>
      <c r="F506" s="835"/>
      <c r="G506" s="532">
        <v>1</v>
      </c>
      <c r="H506" s="532" t="s">
        <v>250</v>
      </c>
      <c r="I506" s="97">
        <v>16100</v>
      </c>
      <c r="J506" s="97">
        <f t="shared" si="49"/>
        <v>16100</v>
      </c>
      <c r="L506" s="82" t="s">
        <v>790</v>
      </c>
    </row>
    <row r="507" spans="2:12" ht="15.95" customHeight="1">
      <c r="B507"/>
      <c r="C507" s="101"/>
      <c r="D507" s="811" t="s">
        <v>221</v>
      </c>
      <c r="E507" s="811"/>
      <c r="F507" s="811"/>
      <c r="G507" s="812"/>
      <c r="H507" s="812"/>
      <c r="I507" s="102"/>
      <c r="J507" s="109">
        <f>J482</f>
        <v>21514300</v>
      </c>
      <c r="L507" s="82" t="s">
        <v>604</v>
      </c>
    </row>
    <row r="508" spans="2:12" ht="37.5" customHeight="1">
      <c r="B508"/>
      <c r="C508" s="200" t="s">
        <v>471</v>
      </c>
      <c r="D508" s="820" t="s">
        <v>835</v>
      </c>
      <c r="E508" s="820"/>
      <c r="F508" s="820"/>
      <c r="G508" s="821" t="s">
        <v>834</v>
      </c>
      <c r="H508" s="821"/>
      <c r="I508" s="87"/>
      <c r="J508" s="264">
        <f>J509+J517</f>
        <v>9000780</v>
      </c>
      <c r="L508" s="82" t="s">
        <v>746</v>
      </c>
    </row>
    <row r="509" spans="2:12" ht="15.95" customHeight="1">
      <c r="B509"/>
      <c r="C509" s="88">
        <v>2</v>
      </c>
      <c r="D509" s="820" t="s">
        <v>34</v>
      </c>
      <c r="E509" s="820"/>
      <c r="F509" s="820"/>
      <c r="G509" s="532" t="s">
        <v>630</v>
      </c>
      <c r="H509" s="532" t="s">
        <v>631</v>
      </c>
      <c r="I509" s="533" t="s">
        <v>825</v>
      </c>
      <c r="J509" s="99">
        <f>SUM(J510:J516)</f>
        <v>1078000</v>
      </c>
    </row>
    <row r="510" spans="2:12" ht="15.95" customHeight="1">
      <c r="B510"/>
      <c r="C510" s="91"/>
      <c r="D510" s="822" t="s">
        <v>214</v>
      </c>
      <c r="E510" s="822"/>
      <c r="F510" s="822"/>
      <c r="G510" s="532">
        <v>1</v>
      </c>
      <c r="H510" s="532" t="s">
        <v>233</v>
      </c>
      <c r="I510" s="92">
        <v>250000</v>
      </c>
      <c r="J510" s="92">
        <f>G510*I510</f>
        <v>250000</v>
      </c>
    </row>
    <row r="511" spans="2:12" ht="15.95" customHeight="1">
      <c r="B511"/>
      <c r="C511" s="91"/>
      <c r="D511" s="823" t="s">
        <v>41</v>
      </c>
      <c r="E511" s="823"/>
      <c r="F511" s="823"/>
      <c r="G511" s="937">
        <v>628000</v>
      </c>
      <c r="H511" s="937"/>
      <c r="I511" s="92"/>
      <c r="J511" s="92"/>
      <c r="K511" s="82">
        <f>J508*7.5%</f>
        <v>675058.5</v>
      </c>
    </row>
    <row r="512" spans="2:12" ht="15.95" customHeight="1">
      <c r="B512"/>
      <c r="C512" s="91"/>
      <c r="D512" s="835" t="s">
        <v>207</v>
      </c>
      <c r="E512" s="835"/>
      <c r="F512" s="835"/>
      <c r="G512" s="532">
        <v>1</v>
      </c>
      <c r="H512" s="532" t="s">
        <v>64</v>
      </c>
      <c r="I512" s="92">
        <f>G511*25%</f>
        <v>157000</v>
      </c>
      <c r="J512" s="92">
        <f>SUM(G512*I512)</f>
        <v>157000</v>
      </c>
    </row>
    <row r="513" spans="2:12" ht="15.95" customHeight="1">
      <c r="B513"/>
      <c r="C513" s="91"/>
      <c r="D513" s="835" t="s">
        <v>695</v>
      </c>
      <c r="E513" s="835"/>
      <c r="F513" s="835"/>
      <c r="G513" s="532">
        <v>1</v>
      </c>
      <c r="H513" s="532" t="s">
        <v>64</v>
      </c>
      <c r="I513" s="92">
        <f>G511*15%</f>
        <v>94200</v>
      </c>
      <c r="J513" s="92">
        <f>SUM(G513*I513)</f>
        <v>94200</v>
      </c>
      <c r="L513" s="82" t="s">
        <v>791</v>
      </c>
    </row>
    <row r="514" spans="2:12" ht="15.95" customHeight="1">
      <c r="B514"/>
      <c r="C514" s="91"/>
      <c r="D514" s="835" t="s">
        <v>70</v>
      </c>
      <c r="E514" s="835"/>
      <c r="F514" s="835"/>
      <c r="G514" s="532">
        <v>6</v>
      </c>
      <c r="H514" s="532" t="s">
        <v>64</v>
      </c>
      <c r="I514" s="92">
        <f>G511*60%/6</f>
        <v>62800</v>
      </c>
      <c r="J514" s="92">
        <f>SUM(G514*I514)</f>
        <v>376800</v>
      </c>
    </row>
    <row r="515" spans="2:12" ht="15.95" customHeight="1">
      <c r="B515"/>
      <c r="C515" s="91"/>
      <c r="D515" s="836" t="s">
        <v>215</v>
      </c>
      <c r="E515" s="836"/>
      <c r="F515" s="836"/>
      <c r="G515" s="532">
        <v>1</v>
      </c>
      <c r="H515" s="532" t="s">
        <v>217</v>
      </c>
      <c r="I515" s="92">
        <v>150000</v>
      </c>
      <c r="J515" s="92">
        <f t="shared" ref="J515:J516" si="50">SUM(G515*I515)</f>
        <v>150000</v>
      </c>
    </row>
    <row r="516" spans="2:12" ht="15.95" customHeight="1">
      <c r="B516"/>
      <c r="C516" s="91"/>
      <c r="D516" s="836" t="s">
        <v>216</v>
      </c>
      <c r="E516" s="836"/>
      <c r="F516" s="836"/>
      <c r="G516" s="532">
        <v>1</v>
      </c>
      <c r="H516" s="532" t="s">
        <v>217</v>
      </c>
      <c r="I516" s="92">
        <v>50000</v>
      </c>
      <c r="J516" s="92">
        <f t="shared" si="50"/>
        <v>50000</v>
      </c>
    </row>
    <row r="517" spans="2:12" ht="15.95" customHeight="1">
      <c r="B517"/>
      <c r="C517" s="96">
        <v>3</v>
      </c>
      <c r="D517" s="813" t="s">
        <v>32</v>
      </c>
      <c r="E517" s="813"/>
      <c r="F517" s="813"/>
      <c r="G517" s="519"/>
      <c r="H517" s="519"/>
      <c r="I517" s="97"/>
      <c r="J517" s="98">
        <f>SUM(J518:J532)</f>
        <v>7922780</v>
      </c>
      <c r="L517" s="82" t="s">
        <v>795</v>
      </c>
    </row>
    <row r="518" spans="2:12" ht="15.95" customHeight="1">
      <c r="B518"/>
      <c r="C518" s="96"/>
      <c r="D518" s="837" t="s">
        <v>628</v>
      </c>
      <c r="E518" s="838"/>
      <c r="F518" s="839"/>
      <c r="G518" s="789">
        <v>17</v>
      </c>
      <c r="H518" s="789" t="s">
        <v>644</v>
      </c>
      <c r="I518" s="92">
        <v>60000</v>
      </c>
      <c r="J518" s="92">
        <f t="shared" ref="J518:J524" si="51">SUM(G518*I518)</f>
        <v>1020000</v>
      </c>
    </row>
    <row r="519" spans="2:12" ht="15.95" customHeight="1">
      <c r="B519"/>
      <c r="C519" s="96"/>
      <c r="D519" s="836" t="s">
        <v>642</v>
      </c>
      <c r="E519" s="836"/>
      <c r="F519" s="836"/>
      <c r="G519" s="789">
        <v>10</v>
      </c>
      <c r="H519" s="789" t="s">
        <v>644</v>
      </c>
      <c r="I519" s="95">
        <v>70000</v>
      </c>
      <c r="J519" s="92">
        <f t="shared" si="51"/>
        <v>700000</v>
      </c>
    </row>
    <row r="520" spans="2:12" ht="15.95" customHeight="1">
      <c r="B520"/>
      <c r="C520" s="96"/>
      <c r="D520" s="837" t="s">
        <v>832</v>
      </c>
      <c r="E520" s="838"/>
      <c r="F520" s="839"/>
      <c r="G520" s="252">
        <v>0.878</v>
      </c>
      <c r="H520" s="789" t="s">
        <v>644</v>
      </c>
      <c r="I520" s="95">
        <v>60000</v>
      </c>
      <c r="J520" s="89">
        <f t="shared" si="51"/>
        <v>52680</v>
      </c>
    </row>
    <row r="521" spans="2:12" ht="15.95" customHeight="1">
      <c r="B521"/>
      <c r="C521" s="96"/>
      <c r="D521" s="837" t="s">
        <v>715</v>
      </c>
      <c r="E521" s="838"/>
      <c r="F521" s="839"/>
      <c r="G521" s="789">
        <v>5</v>
      </c>
      <c r="H521" s="789" t="s">
        <v>699</v>
      </c>
      <c r="I521" s="95">
        <v>27600</v>
      </c>
      <c r="J521" s="89">
        <f t="shared" si="51"/>
        <v>138000</v>
      </c>
    </row>
    <row r="522" spans="2:12" ht="15.95" customHeight="1">
      <c r="B522"/>
      <c r="C522" s="96"/>
      <c r="D522" s="837" t="s">
        <v>720</v>
      </c>
      <c r="E522" s="838"/>
      <c r="F522" s="839"/>
      <c r="G522" s="789">
        <v>1</v>
      </c>
      <c r="H522" s="789" t="s">
        <v>217</v>
      </c>
      <c r="I522" s="95">
        <v>75000</v>
      </c>
      <c r="J522" s="89">
        <f t="shared" si="51"/>
        <v>75000</v>
      </c>
    </row>
    <row r="523" spans="2:12" ht="15.95" customHeight="1">
      <c r="B523"/>
      <c r="C523" s="96"/>
      <c r="D523" s="837" t="s">
        <v>750</v>
      </c>
      <c r="E523" s="838"/>
      <c r="F523" s="839"/>
      <c r="G523" s="789">
        <v>1</v>
      </c>
      <c r="H523" s="789" t="s">
        <v>102</v>
      </c>
      <c r="I523" s="95">
        <v>25000</v>
      </c>
      <c r="J523" s="89">
        <f t="shared" si="51"/>
        <v>25000</v>
      </c>
    </row>
    <row r="524" spans="2:12" ht="15.95" customHeight="1">
      <c r="B524"/>
      <c r="C524" s="96"/>
      <c r="D524" s="837" t="s">
        <v>719</v>
      </c>
      <c r="E524" s="838"/>
      <c r="F524" s="839"/>
      <c r="G524" s="789">
        <v>10</v>
      </c>
      <c r="H524" s="789" t="s">
        <v>217</v>
      </c>
      <c r="I524" s="95">
        <v>14500</v>
      </c>
      <c r="J524" s="89">
        <f t="shared" si="51"/>
        <v>145000</v>
      </c>
    </row>
    <row r="525" spans="2:12" ht="15.95" customHeight="1">
      <c r="B525"/>
      <c r="C525" s="96"/>
      <c r="D525" s="903" t="s">
        <v>700</v>
      </c>
      <c r="E525" s="904"/>
      <c r="F525" s="905"/>
      <c r="G525" s="532">
        <v>1</v>
      </c>
      <c r="H525" s="532" t="s">
        <v>241</v>
      </c>
      <c r="I525" s="95">
        <v>220000</v>
      </c>
      <c r="J525" s="97">
        <f>G525*I525</f>
        <v>220000</v>
      </c>
      <c r="L525" s="82" t="s">
        <v>796</v>
      </c>
    </row>
    <row r="526" spans="2:12" ht="15.95" customHeight="1">
      <c r="B526"/>
      <c r="C526" s="96"/>
      <c r="D526" s="903" t="s">
        <v>703</v>
      </c>
      <c r="E526" s="904"/>
      <c r="F526" s="905"/>
      <c r="G526" s="532">
        <v>70</v>
      </c>
      <c r="H526" s="532" t="s">
        <v>217</v>
      </c>
      <c r="I526" s="95">
        <v>800</v>
      </c>
      <c r="J526" s="97">
        <f t="shared" ref="J526:J528" si="52">G526*I526</f>
        <v>56000</v>
      </c>
      <c r="L526" s="82" t="s">
        <v>798</v>
      </c>
    </row>
    <row r="527" spans="2:12" ht="15.95" customHeight="1">
      <c r="B527"/>
      <c r="C527" s="96"/>
      <c r="D527" s="903" t="s">
        <v>831</v>
      </c>
      <c r="E527" s="947"/>
      <c r="F527" s="948"/>
      <c r="G527" s="532">
        <v>13</v>
      </c>
      <c r="H527" s="532" t="s">
        <v>252</v>
      </c>
      <c r="I527" s="95">
        <v>55000</v>
      </c>
      <c r="J527" s="97">
        <f t="shared" si="52"/>
        <v>715000</v>
      </c>
      <c r="L527" s="82" t="s">
        <v>797</v>
      </c>
    </row>
    <row r="528" spans="2:12" ht="15.95" customHeight="1">
      <c r="B528"/>
      <c r="C528" s="96"/>
      <c r="D528" s="903" t="s">
        <v>775</v>
      </c>
      <c r="E528" s="904"/>
      <c r="F528" s="905"/>
      <c r="G528" s="532">
        <v>1</v>
      </c>
      <c r="H528" s="532" t="s">
        <v>722</v>
      </c>
      <c r="I528" s="95">
        <v>60000</v>
      </c>
      <c r="J528" s="97">
        <f t="shared" si="52"/>
        <v>60000</v>
      </c>
      <c r="L528" s="82" t="s">
        <v>743</v>
      </c>
    </row>
    <row r="529" spans="2:12" ht="15.95" customHeight="1">
      <c r="B529"/>
      <c r="C529" s="94"/>
      <c r="D529" s="834" t="s">
        <v>701</v>
      </c>
      <c r="E529" s="835"/>
      <c r="F529" s="835"/>
      <c r="G529" s="532">
        <v>3</v>
      </c>
      <c r="H529" s="532" t="s">
        <v>241</v>
      </c>
      <c r="I529" s="97">
        <v>300000</v>
      </c>
      <c r="J529" s="97">
        <f>G529*I529</f>
        <v>900000</v>
      </c>
      <c r="L529" s="82" t="s">
        <v>323</v>
      </c>
    </row>
    <row r="530" spans="2:12" ht="15.95" customHeight="1">
      <c r="B530"/>
      <c r="C530" s="94"/>
      <c r="D530" s="834" t="s">
        <v>708</v>
      </c>
      <c r="E530" s="835"/>
      <c r="F530" s="835"/>
      <c r="G530" s="94">
        <v>5</v>
      </c>
      <c r="H530" s="94" t="s">
        <v>102</v>
      </c>
      <c r="I530" s="97">
        <v>280000</v>
      </c>
      <c r="J530" s="97">
        <f t="shared" ref="J530:J532" si="53">G530*I530</f>
        <v>1400000</v>
      </c>
    </row>
    <row r="531" spans="2:12" ht="15.95" customHeight="1">
      <c r="B531"/>
      <c r="C531" s="94"/>
      <c r="D531" s="834" t="s">
        <v>758</v>
      </c>
      <c r="E531" s="835"/>
      <c r="F531" s="835"/>
      <c r="G531" s="252">
        <v>32</v>
      </c>
      <c r="H531" s="532" t="s">
        <v>241</v>
      </c>
      <c r="I531" s="97">
        <v>75000</v>
      </c>
      <c r="J531" s="97">
        <f t="shared" si="53"/>
        <v>2400000</v>
      </c>
    </row>
    <row r="532" spans="2:12" ht="15.95" customHeight="1">
      <c r="B532"/>
      <c r="C532" s="94"/>
      <c r="D532" s="834" t="s">
        <v>776</v>
      </c>
      <c r="E532" s="835"/>
      <c r="F532" s="835"/>
      <c r="G532" s="532">
        <v>1</v>
      </c>
      <c r="H532" s="532" t="s">
        <v>250</v>
      </c>
      <c r="I532" s="97">
        <v>16100</v>
      </c>
      <c r="J532" s="97">
        <f t="shared" si="53"/>
        <v>16100</v>
      </c>
    </row>
    <row r="533" spans="2:12" ht="15.95" customHeight="1">
      <c r="B533"/>
      <c r="C533" s="101"/>
      <c r="D533" s="811" t="s">
        <v>221</v>
      </c>
      <c r="E533" s="811"/>
      <c r="F533" s="811"/>
      <c r="G533" s="812"/>
      <c r="H533" s="812"/>
      <c r="I533" s="102"/>
      <c r="J533" s="109">
        <f>J508</f>
        <v>9000780</v>
      </c>
    </row>
    <row r="534" spans="2:12" ht="27" customHeight="1">
      <c r="B534"/>
      <c r="C534" s="200" t="s">
        <v>249</v>
      </c>
      <c r="D534" s="820" t="s">
        <v>845</v>
      </c>
      <c r="E534" s="820"/>
      <c r="F534" s="820"/>
      <c r="G534" s="933" t="s">
        <v>846</v>
      </c>
      <c r="H534" s="821"/>
      <c r="I534" s="934"/>
      <c r="J534" s="264">
        <f>SUM(J535+J543)</f>
        <v>27666700</v>
      </c>
    </row>
    <row r="535" spans="2:12" ht="18" customHeight="1">
      <c r="B535"/>
      <c r="C535" s="88">
        <v>2</v>
      </c>
      <c r="D535" s="820" t="s">
        <v>34</v>
      </c>
      <c r="E535" s="820"/>
      <c r="F535" s="820"/>
      <c r="G535" s="532" t="s">
        <v>630</v>
      </c>
      <c r="H535" s="532" t="s">
        <v>631</v>
      </c>
      <c r="I535" s="533" t="s">
        <v>825</v>
      </c>
      <c r="J535" s="99">
        <f>SUM(J536:J542)</f>
        <v>2630000</v>
      </c>
    </row>
    <row r="536" spans="2:12" ht="18" customHeight="1">
      <c r="B536"/>
      <c r="C536" s="91"/>
      <c r="D536" s="822" t="s">
        <v>214</v>
      </c>
      <c r="E536" s="822"/>
      <c r="F536" s="822"/>
      <c r="G536" s="532">
        <v>1</v>
      </c>
      <c r="H536" s="532" t="s">
        <v>233</v>
      </c>
      <c r="I536" s="92">
        <v>500000</v>
      </c>
      <c r="J536" s="92">
        <f>G536*I536</f>
        <v>500000</v>
      </c>
    </row>
    <row r="537" spans="2:12" ht="18" customHeight="1">
      <c r="B537"/>
      <c r="C537" s="91"/>
      <c r="D537" s="823" t="s">
        <v>41</v>
      </c>
      <c r="E537" s="823"/>
      <c r="F537" s="823"/>
      <c r="G537" s="937">
        <v>1930000</v>
      </c>
      <c r="H537" s="937"/>
      <c r="I537" s="92"/>
      <c r="J537" s="92"/>
      <c r="K537" s="82">
        <f>J534*7.5%</f>
        <v>2075002.5</v>
      </c>
    </row>
    <row r="538" spans="2:12" ht="18" customHeight="1">
      <c r="B538"/>
      <c r="C538" s="91"/>
      <c r="D538" s="835" t="s">
        <v>207</v>
      </c>
      <c r="E538" s="835"/>
      <c r="F538" s="835"/>
      <c r="G538" s="532">
        <v>1</v>
      </c>
      <c r="H538" s="532" t="s">
        <v>64</v>
      </c>
      <c r="I538" s="92">
        <f>G537*25%</f>
        <v>482500</v>
      </c>
      <c r="J538" s="92">
        <f>SUM(G538*I538)</f>
        <v>482500</v>
      </c>
      <c r="L538" s="82">
        <f>20*1*0.07</f>
        <v>1.4000000000000001</v>
      </c>
    </row>
    <row r="539" spans="2:12" ht="18" customHeight="1">
      <c r="B539"/>
      <c r="C539" s="91"/>
      <c r="D539" s="835" t="s">
        <v>695</v>
      </c>
      <c r="E539" s="835"/>
      <c r="F539" s="835"/>
      <c r="G539" s="532">
        <v>1</v>
      </c>
      <c r="H539" s="532" t="s">
        <v>64</v>
      </c>
      <c r="I539" s="92">
        <f>G537*15%</f>
        <v>289500</v>
      </c>
      <c r="J539" s="92">
        <f>SUM(G539*I539)</f>
        <v>289500</v>
      </c>
    </row>
    <row r="540" spans="2:12" ht="18" customHeight="1">
      <c r="B540"/>
      <c r="C540" s="91"/>
      <c r="D540" s="835" t="s">
        <v>70</v>
      </c>
      <c r="E540" s="835"/>
      <c r="F540" s="835"/>
      <c r="G540" s="532">
        <v>6</v>
      </c>
      <c r="H540" s="532" t="s">
        <v>64</v>
      </c>
      <c r="I540" s="92">
        <f>G537*60%/6</f>
        <v>193000</v>
      </c>
      <c r="J540" s="92">
        <f>SUM(G540*I540)</f>
        <v>1158000</v>
      </c>
    </row>
    <row r="541" spans="2:12" ht="18" customHeight="1">
      <c r="B541"/>
      <c r="C541" s="91"/>
      <c r="D541" s="836" t="s">
        <v>215</v>
      </c>
      <c r="E541" s="836"/>
      <c r="F541" s="836"/>
      <c r="G541" s="532">
        <v>1</v>
      </c>
      <c r="H541" s="532" t="s">
        <v>217</v>
      </c>
      <c r="I541" s="92">
        <v>150000</v>
      </c>
      <c r="J541" s="92">
        <f t="shared" ref="J541:J542" si="54">SUM(G541*I541)</f>
        <v>150000</v>
      </c>
    </row>
    <row r="542" spans="2:12" ht="18" customHeight="1">
      <c r="B542"/>
      <c r="C542" s="91"/>
      <c r="D542" s="836" t="s">
        <v>216</v>
      </c>
      <c r="E542" s="836"/>
      <c r="F542" s="836"/>
      <c r="G542" s="532">
        <v>1</v>
      </c>
      <c r="H542" s="532" t="s">
        <v>217</v>
      </c>
      <c r="I542" s="92">
        <v>50000</v>
      </c>
      <c r="J542" s="92">
        <f t="shared" si="54"/>
        <v>50000</v>
      </c>
      <c r="L542" s="82">
        <f>750*1*0.003</f>
        <v>2.25</v>
      </c>
    </row>
    <row r="543" spans="2:12" ht="18" customHeight="1">
      <c r="B543"/>
      <c r="C543" s="96">
        <v>3</v>
      </c>
      <c r="D543" s="813" t="s">
        <v>32</v>
      </c>
      <c r="E543" s="813"/>
      <c r="F543" s="813"/>
      <c r="G543" s="519"/>
      <c r="H543" s="519"/>
      <c r="I543" s="97"/>
      <c r="J543" s="98">
        <f>SUM(J544:J559)</f>
        <v>25036700</v>
      </c>
    </row>
    <row r="544" spans="2:12" ht="18" customHeight="1">
      <c r="B544"/>
      <c r="C544" s="96"/>
      <c r="D544" s="836" t="s">
        <v>628</v>
      </c>
      <c r="E544" s="836"/>
      <c r="F544" s="836"/>
      <c r="G544" s="789">
        <v>27</v>
      </c>
      <c r="H544" s="789" t="s">
        <v>644</v>
      </c>
      <c r="I544" s="95">
        <v>60000</v>
      </c>
      <c r="J544" s="92">
        <f t="shared" ref="J544:J552" si="55">SUM(G544*I544)</f>
        <v>1620000</v>
      </c>
    </row>
    <row r="545" spans="2:10" ht="18" customHeight="1">
      <c r="B545"/>
      <c r="C545" s="96"/>
      <c r="D545" s="837" t="s">
        <v>642</v>
      </c>
      <c r="E545" s="838"/>
      <c r="F545" s="839"/>
      <c r="G545" s="789">
        <v>15</v>
      </c>
      <c r="H545" s="789" t="s">
        <v>644</v>
      </c>
      <c r="I545" s="95">
        <v>70000</v>
      </c>
      <c r="J545" s="89">
        <f t="shared" si="55"/>
        <v>1050000</v>
      </c>
    </row>
    <row r="546" spans="2:10" ht="18" customHeight="1">
      <c r="B546"/>
      <c r="C546" s="96"/>
      <c r="D546" s="837" t="s">
        <v>848</v>
      </c>
      <c r="E546" s="838"/>
      <c r="F546" s="839"/>
      <c r="G546" s="512">
        <v>28</v>
      </c>
      <c r="H546" s="789" t="s">
        <v>241</v>
      </c>
      <c r="I546" s="95">
        <v>60000</v>
      </c>
      <c r="J546" s="89">
        <f t="shared" si="55"/>
        <v>1680000</v>
      </c>
    </row>
    <row r="547" spans="2:10" ht="18" customHeight="1">
      <c r="B547"/>
      <c r="C547" s="96"/>
      <c r="D547" s="837" t="s">
        <v>820</v>
      </c>
      <c r="E547" s="838"/>
      <c r="F547" s="839"/>
      <c r="G547" s="789">
        <v>6</v>
      </c>
      <c r="H547" s="789" t="s">
        <v>821</v>
      </c>
      <c r="I547" s="95">
        <v>300000</v>
      </c>
      <c r="J547" s="89">
        <f t="shared" si="55"/>
        <v>1800000</v>
      </c>
    </row>
    <row r="548" spans="2:10" ht="18" customHeight="1">
      <c r="B548"/>
      <c r="C548" s="96"/>
      <c r="D548" s="837" t="s">
        <v>719</v>
      </c>
      <c r="E548" s="838"/>
      <c r="F548" s="839"/>
      <c r="G548" s="789">
        <v>10</v>
      </c>
      <c r="H548" s="789" t="s">
        <v>217</v>
      </c>
      <c r="I548" s="95">
        <v>14500</v>
      </c>
      <c r="J548" s="89">
        <f t="shared" si="55"/>
        <v>145000</v>
      </c>
    </row>
    <row r="549" spans="2:10" ht="18" customHeight="1">
      <c r="B549"/>
      <c r="C549" s="96"/>
      <c r="D549" s="837" t="s">
        <v>750</v>
      </c>
      <c r="E549" s="838"/>
      <c r="F549" s="839"/>
      <c r="G549" s="789">
        <v>3</v>
      </c>
      <c r="H549" s="789" t="s">
        <v>217</v>
      </c>
      <c r="I549" s="95">
        <v>25000</v>
      </c>
      <c r="J549" s="89">
        <f t="shared" si="55"/>
        <v>75000</v>
      </c>
    </row>
    <row r="550" spans="2:10" ht="18" customHeight="1">
      <c r="B550"/>
      <c r="C550" s="96"/>
      <c r="D550" s="837" t="s">
        <v>720</v>
      </c>
      <c r="E550" s="838"/>
      <c r="F550" s="839"/>
      <c r="G550" s="789">
        <v>1</v>
      </c>
      <c r="H550" s="789" t="s">
        <v>217</v>
      </c>
      <c r="I550" s="95">
        <v>75000</v>
      </c>
      <c r="J550" s="89">
        <f t="shared" si="55"/>
        <v>75000</v>
      </c>
    </row>
    <row r="551" spans="2:10" ht="18" customHeight="1">
      <c r="B551"/>
      <c r="C551" s="96"/>
      <c r="D551" s="837" t="s">
        <v>819</v>
      </c>
      <c r="E551" s="838"/>
      <c r="F551" s="839"/>
      <c r="G551" s="789">
        <v>8</v>
      </c>
      <c r="H551" s="789" t="s">
        <v>699</v>
      </c>
      <c r="I551" s="95">
        <v>27600</v>
      </c>
      <c r="J551" s="89">
        <f t="shared" si="55"/>
        <v>220800</v>
      </c>
    </row>
    <row r="552" spans="2:10" ht="18" customHeight="1">
      <c r="B552"/>
      <c r="C552" s="96"/>
      <c r="D552" s="837" t="s">
        <v>780</v>
      </c>
      <c r="E552" s="838"/>
      <c r="F552" s="839"/>
      <c r="G552" s="789">
        <v>2</v>
      </c>
      <c r="H552" s="789" t="s">
        <v>217</v>
      </c>
      <c r="I552" s="95">
        <v>3500</v>
      </c>
      <c r="J552" s="89">
        <f t="shared" si="55"/>
        <v>7000</v>
      </c>
    </row>
    <row r="553" spans="2:10" ht="18" customHeight="1">
      <c r="B553"/>
      <c r="C553" s="94"/>
      <c r="D553" s="834" t="s">
        <v>831</v>
      </c>
      <c r="E553" s="835"/>
      <c r="F553" s="835"/>
      <c r="G553" s="510">
        <v>170</v>
      </c>
      <c r="H553" s="532" t="s">
        <v>217</v>
      </c>
      <c r="I553" s="97">
        <v>55000</v>
      </c>
      <c r="J553" s="97">
        <f>G553*I553</f>
        <v>9350000</v>
      </c>
    </row>
    <row r="554" spans="2:10" ht="18" customHeight="1">
      <c r="B554"/>
      <c r="C554" s="94"/>
      <c r="D554" s="902" t="s">
        <v>703</v>
      </c>
      <c r="E554" s="915"/>
      <c r="F554" s="916"/>
      <c r="G554" s="510">
        <v>630</v>
      </c>
      <c r="H554" s="532" t="s">
        <v>217</v>
      </c>
      <c r="I554" s="97">
        <v>800</v>
      </c>
      <c r="J554" s="97">
        <f>G554*I554</f>
        <v>504000</v>
      </c>
    </row>
    <row r="555" spans="2:10" ht="18" customHeight="1">
      <c r="B555"/>
      <c r="C555" s="94"/>
      <c r="D555" s="834" t="s">
        <v>700</v>
      </c>
      <c r="E555" s="835"/>
      <c r="F555" s="835"/>
      <c r="G555" s="511">
        <v>1</v>
      </c>
      <c r="H555" s="94" t="s">
        <v>102</v>
      </c>
      <c r="I555" s="97">
        <v>220000</v>
      </c>
      <c r="J555" s="97">
        <f t="shared" ref="J555:J559" si="56">G555*I555</f>
        <v>220000</v>
      </c>
    </row>
    <row r="556" spans="2:10" ht="18" customHeight="1">
      <c r="B556"/>
      <c r="C556" s="94"/>
      <c r="D556" s="834" t="s">
        <v>758</v>
      </c>
      <c r="E556" s="835"/>
      <c r="F556" s="835"/>
      <c r="G556" s="510">
        <v>55</v>
      </c>
      <c r="H556" s="532" t="s">
        <v>241</v>
      </c>
      <c r="I556" s="97">
        <v>75000</v>
      </c>
      <c r="J556" s="97">
        <f t="shared" si="56"/>
        <v>4125000</v>
      </c>
    </row>
    <row r="557" spans="2:10" ht="18" customHeight="1">
      <c r="B557"/>
      <c r="C557" s="94"/>
      <c r="D557" s="902" t="s">
        <v>823</v>
      </c>
      <c r="E557" s="915"/>
      <c r="F557" s="916"/>
      <c r="G557" s="532">
        <v>5</v>
      </c>
      <c r="H557" s="532" t="s">
        <v>241</v>
      </c>
      <c r="I557" s="97">
        <v>300000</v>
      </c>
      <c r="J557" s="97">
        <f t="shared" si="56"/>
        <v>1500000</v>
      </c>
    </row>
    <row r="558" spans="2:10" ht="18" customHeight="1">
      <c r="B558"/>
      <c r="C558" s="94"/>
      <c r="D558" s="902" t="s">
        <v>708</v>
      </c>
      <c r="E558" s="915"/>
      <c r="F558" s="916"/>
      <c r="G558" s="532">
        <v>9</v>
      </c>
      <c r="H558" s="532" t="s">
        <v>241</v>
      </c>
      <c r="I558" s="97">
        <v>280000</v>
      </c>
      <c r="J558" s="97">
        <f t="shared" si="56"/>
        <v>2520000</v>
      </c>
    </row>
    <row r="559" spans="2:10" ht="18" customHeight="1">
      <c r="B559"/>
      <c r="C559" s="94"/>
      <c r="D559" s="902" t="s">
        <v>806</v>
      </c>
      <c r="E559" s="900"/>
      <c r="F559" s="901"/>
      <c r="G559" s="532">
        <v>9</v>
      </c>
      <c r="H559" s="532" t="s">
        <v>250</v>
      </c>
      <c r="I559" s="97">
        <v>16100</v>
      </c>
      <c r="J559" s="97">
        <f t="shared" si="56"/>
        <v>144900</v>
      </c>
    </row>
    <row r="560" spans="2:10" ht="18" customHeight="1">
      <c r="B560"/>
      <c r="C560" s="101"/>
      <c r="D560" s="811" t="s">
        <v>221</v>
      </c>
      <c r="E560" s="811"/>
      <c r="F560" s="811"/>
      <c r="G560" s="812"/>
      <c r="H560" s="812"/>
      <c r="I560" s="102"/>
      <c r="J560" s="109">
        <f>J534</f>
        <v>27666700</v>
      </c>
    </row>
    <row r="561" spans="2:12" ht="24.75" customHeight="1">
      <c r="B561"/>
      <c r="C561" s="200" t="s">
        <v>815</v>
      </c>
      <c r="D561" s="820" t="s">
        <v>814</v>
      </c>
      <c r="E561" s="820"/>
      <c r="F561" s="820"/>
      <c r="G561" s="821" t="s">
        <v>816</v>
      </c>
      <c r="H561" s="821"/>
      <c r="I561" s="87"/>
      <c r="J561" s="264">
        <f>SUM(J562+J570)</f>
        <v>43345900</v>
      </c>
      <c r="K561" s="623">
        <v>13235200</v>
      </c>
    </row>
    <row r="562" spans="2:12" ht="18" customHeight="1">
      <c r="B562"/>
      <c r="C562" s="88">
        <v>2</v>
      </c>
      <c r="D562" s="820" t="s">
        <v>34</v>
      </c>
      <c r="E562" s="820"/>
      <c r="F562" s="820"/>
      <c r="G562" s="532" t="s">
        <v>630</v>
      </c>
      <c r="H562" s="532" t="s">
        <v>631</v>
      </c>
      <c r="I562" s="533" t="s">
        <v>825</v>
      </c>
      <c r="J562" s="99">
        <f>SUM(J563:J569)</f>
        <v>3724000</v>
      </c>
    </row>
    <row r="563" spans="2:12" ht="15.95" customHeight="1">
      <c r="B563"/>
      <c r="C563" s="91"/>
      <c r="D563" s="822" t="s">
        <v>214</v>
      </c>
      <c r="E563" s="822"/>
      <c r="F563" s="822"/>
      <c r="G563" s="532">
        <v>1</v>
      </c>
      <c r="H563" s="532" t="s">
        <v>233</v>
      </c>
      <c r="I563" s="92">
        <v>500000</v>
      </c>
      <c r="J563" s="92">
        <f>G563*I563</f>
        <v>500000</v>
      </c>
    </row>
    <row r="564" spans="2:12" ht="18" customHeight="1">
      <c r="B564"/>
      <c r="C564" s="91"/>
      <c r="D564" s="823" t="s">
        <v>41</v>
      </c>
      <c r="E564" s="823"/>
      <c r="F564" s="823"/>
      <c r="G564" s="937">
        <v>3024000</v>
      </c>
      <c r="H564" s="937"/>
      <c r="I564" s="92"/>
      <c r="J564" s="92"/>
      <c r="K564" s="82">
        <f>J561*7.5%</f>
        <v>3250942.5</v>
      </c>
      <c r="L564" s="82">
        <v>3024000</v>
      </c>
    </row>
    <row r="565" spans="2:12" ht="18" customHeight="1">
      <c r="B565"/>
      <c r="C565" s="91"/>
      <c r="D565" s="835" t="s">
        <v>207</v>
      </c>
      <c r="E565" s="835"/>
      <c r="F565" s="835"/>
      <c r="G565" s="532">
        <v>1</v>
      </c>
      <c r="H565" s="532" t="s">
        <v>64</v>
      </c>
      <c r="I565" s="92">
        <f>G564*25%</f>
        <v>756000</v>
      </c>
      <c r="J565" s="92">
        <f>SUM(G565*I565)</f>
        <v>756000</v>
      </c>
    </row>
    <row r="566" spans="2:12" ht="18" customHeight="1">
      <c r="B566"/>
      <c r="C566" s="91"/>
      <c r="D566" s="835" t="s">
        <v>695</v>
      </c>
      <c r="E566" s="835"/>
      <c r="F566" s="835"/>
      <c r="G566" s="532">
        <v>1</v>
      </c>
      <c r="H566" s="532" t="s">
        <v>64</v>
      </c>
      <c r="I566" s="92">
        <f>G564*15%</f>
        <v>453600</v>
      </c>
      <c r="J566" s="92">
        <f>SUM(G566*I566)</f>
        <v>453600</v>
      </c>
    </row>
    <row r="567" spans="2:12" ht="18" customHeight="1">
      <c r="B567"/>
      <c r="C567" s="91"/>
      <c r="D567" s="835" t="s">
        <v>70</v>
      </c>
      <c r="E567" s="835"/>
      <c r="F567" s="835"/>
      <c r="G567" s="532">
        <v>6</v>
      </c>
      <c r="H567" s="532" t="s">
        <v>64</v>
      </c>
      <c r="I567" s="92">
        <f>G564*60%/6</f>
        <v>302400</v>
      </c>
      <c r="J567" s="92">
        <f>SUM(G567*I567)</f>
        <v>1814400</v>
      </c>
    </row>
    <row r="568" spans="2:12" ht="15.95" customHeight="1">
      <c r="B568"/>
      <c r="C568" s="91"/>
      <c r="D568" s="836" t="s">
        <v>215</v>
      </c>
      <c r="E568" s="836"/>
      <c r="F568" s="836"/>
      <c r="G568" s="532">
        <v>1</v>
      </c>
      <c r="H568" s="532" t="s">
        <v>217</v>
      </c>
      <c r="I568" s="92">
        <v>150000</v>
      </c>
      <c r="J568" s="92">
        <f t="shared" ref="J568:J569" si="57">SUM(G568*I568)</f>
        <v>150000</v>
      </c>
    </row>
    <row r="569" spans="2:12" ht="15.95" customHeight="1">
      <c r="B569"/>
      <c r="C569" s="91"/>
      <c r="D569" s="836" t="s">
        <v>216</v>
      </c>
      <c r="E569" s="836"/>
      <c r="F569" s="836"/>
      <c r="G569" s="532">
        <v>1</v>
      </c>
      <c r="H569" s="532" t="s">
        <v>217</v>
      </c>
      <c r="I569" s="92">
        <v>50000</v>
      </c>
      <c r="J569" s="92">
        <f t="shared" si="57"/>
        <v>50000</v>
      </c>
    </row>
    <row r="570" spans="2:12" ht="15.95" customHeight="1">
      <c r="B570"/>
      <c r="C570" s="96">
        <v>3</v>
      </c>
      <c r="D570" s="813" t="s">
        <v>32</v>
      </c>
      <c r="E570" s="813"/>
      <c r="F570" s="813"/>
      <c r="G570" s="519"/>
      <c r="H570" s="519"/>
      <c r="I570" s="97"/>
      <c r="J570" s="98">
        <f>SUM(J571:J583)</f>
        <v>39621900</v>
      </c>
    </row>
    <row r="571" spans="2:12" ht="15.95" customHeight="1">
      <c r="B571"/>
      <c r="C571" s="96"/>
      <c r="D571" s="836" t="s">
        <v>628</v>
      </c>
      <c r="E571" s="836"/>
      <c r="F571" s="836"/>
      <c r="G571" s="789">
        <v>95</v>
      </c>
      <c r="H571" s="789" t="s">
        <v>644</v>
      </c>
      <c r="I571" s="95">
        <v>60000</v>
      </c>
      <c r="J571" s="92">
        <f t="shared" ref="J571:J576" si="58">SUM(G571*I571)</f>
        <v>5700000</v>
      </c>
    </row>
    <row r="572" spans="2:12" ht="15.95" customHeight="1">
      <c r="B572"/>
      <c r="C572" s="96"/>
      <c r="D572" s="837" t="s">
        <v>642</v>
      </c>
      <c r="E572" s="838"/>
      <c r="F572" s="839"/>
      <c r="G572" s="789">
        <v>60</v>
      </c>
      <c r="H572" s="789" t="s">
        <v>644</v>
      </c>
      <c r="I572" s="95">
        <v>70000</v>
      </c>
      <c r="J572" s="89">
        <f t="shared" si="58"/>
        <v>4200000</v>
      </c>
    </row>
    <row r="573" spans="2:12" ht="15.95" customHeight="1">
      <c r="B573"/>
      <c r="C573" s="96"/>
      <c r="D573" s="837" t="s">
        <v>818</v>
      </c>
      <c r="E573" s="838"/>
      <c r="F573" s="839"/>
      <c r="G573" s="789">
        <v>10.4</v>
      </c>
      <c r="H573" s="789" t="s">
        <v>241</v>
      </c>
      <c r="I573" s="95">
        <v>60000</v>
      </c>
      <c r="J573" s="89">
        <f t="shared" si="58"/>
        <v>624000</v>
      </c>
    </row>
    <row r="574" spans="2:12" ht="15.95" customHeight="1">
      <c r="B574"/>
      <c r="C574" s="96"/>
      <c r="D574" s="837" t="s">
        <v>820</v>
      </c>
      <c r="E574" s="838"/>
      <c r="F574" s="839"/>
      <c r="G574" s="789">
        <v>12</v>
      </c>
      <c r="H574" s="789" t="s">
        <v>821</v>
      </c>
      <c r="I574" s="95">
        <v>400000</v>
      </c>
      <c r="J574" s="89">
        <f t="shared" si="58"/>
        <v>4800000</v>
      </c>
    </row>
    <row r="575" spans="2:12" ht="15.95" customHeight="1">
      <c r="B575"/>
      <c r="C575" s="96"/>
      <c r="D575" s="837" t="s">
        <v>819</v>
      </c>
      <c r="E575" s="838"/>
      <c r="F575" s="839"/>
      <c r="G575" s="789">
        <v>10</v>
      </c>
      <c r="H575" s="789" t="s">
        <v>699</v>
      </c>
      <c r="I575" s="95">
        <v>27600</v>
      </c>
      <c r="J575" s="89">
        <f t="shared" si="58"/>
        <v>276000</v>
      </c>
    </row>
    <row r="576" spans="2:12" ht="15.95" customHeight="1">
      <c r="B576"/>
      <c r="C576" s="96"/>
      <c r="D576" s="837" t="s">
        <v>780</v>
      </c>
      <c r="E576" s="838"/>
      <c r="F576" s="839"/>
      <c r="G576" s="789">
        <v>5</v>
      </c>
      <c r="H576" s="789" t="s">
        <v>217</v>
      </c>
      <c r="I576" s="95">
        <v>3500</v>
      </c>
      <c r="J576" s="89">
        <f t="shared" si="58"/>
        <v>17500</v>
      </c>
    </row>
    <row r="577" spans="2:12" ht="15.95" customHeight="1">
      <c r="B577"/>
      <c r="C577" s="94"/>
      <c r="D577" s="834" t="s">
        <v>702</v>
      </c>
      <c r="E577" s="835"/>
      <c r="F577" s="835"/>
      <c r="G577" s="532">
        <v>15</v>
      </c>
      <c r="H577" s="532" t="s">
        <v>241</v>
      </c>
      <c r="I577" s="97">
        <v>220000</v>
      </c>
      <c r="J577" s="97">
        <f>G577*I577</f>
        <v>3300000</v>
      </c>
      <c r="L577" s="82">
        <f>37/4</f>
        <v>9.25</v>
      </c>
    </row>
    <row r="578" spans="2:12" ht="15.95" customHeight="1">
      <c r="B578"/>
      <c r="C578" s="94"/>
      <c r="D578" s="834" t="s">
        <v>700</v>
      </c>
      <c r="E578" s="835"/>
      <c r="F578" s="835"/>
      <c r="G578" s="94">
        <v>12</v>
      </c>
      <c r="H578" s="94" t="s">
        <v>241</v>
      </c>
      <c r="I578" s="97">
        <v>220000</v>
      </c>
      <c r="J578" s="97">
        <f t="shared" ref="J578:J583" si="59">G578*I578</f>
        <v>2640000</v>
      </c>
    </row>
    <row r="579" spans="2:12" ht="15.95" customHeight="1">
      <c r="B579"/>
      <c r="C579" s="94"/>
      <c r="D579" s="834" t="s">
        <v>758</v>
      </c>
      <c r="E579" s="835"/>
      <c r="F579" s="835"/>
      <c r="G579" s="532">
        <v>160</v>
      </c>
      <c r="H579" s="789" t="s">
        <v>288</v>
      </c>
      <c r="I579" s="97">
        <v>75000</v>
      </c>
      <c r="J579" s="97">
        <f t="shared" si="59"/>
        <v>12000000</v>
      </c>
    </row>
    <row r="580" spans="2:12" ht="15.95" customHeight="1">
      <c r="B580"/>
      <c r="C580" s="94"/>
      <c r="D580" s="902" t="s">
        <v>823</v>
      </c>
      <c r="E580" s="915"/>
      <c r="F580" s="916"/>
      <c r="G580" s="532">
        <v>7</v>
      </c>
      <c r="H580" s="532" t="s">
        <v>241</v>
      </c>
      <c r="I580" s="97">
        <v>300000</v>
      </c>
      <c r="J580" s="97">
        <f t="shared" si="59"/>
        <v>2100000</v>
      </c>
    </row>
    <row r="581" spans="2:12" ht="15.95" customHeight="1">
      <c r="B581"/>
      <c r="C581" s="94"/>
      <c r="D581" s="902" t="s">
        <v>708</v>
      </c>
      <c r="E581" s="915"/>
      <c r="F581" s="916"/>
      <c r="G581" s="532">
        <v>9</v>
      </c>
      <c r="H581" s="532" t="s">
        <v>241</v>
      </c>
      <c r="I581" s="97">
        <v>280000</v>
      </c>
      <c r="J581" s="97">
        <f t="shared" si="59"/>
        <v>2520000</v>
      </c>
    </row>
    <row r="582" spans="2:12" ht="15.95" customHeight="1">
      <c r="B582"/>
      <c r="C582" s="94"/>
      <c r="D582" s="902" t="s">
        <v>822</v>
      </c>
      <c r="E582" s="900"/>
      <c r="F582" s="901"/>
      <c r="G582" s="532">
        <v>12</v>
      </c>
      <c r="H582" s="789" t="s">
        <v>241</v>
      </c>
      <c r="I582" s="97">
        <v>115000</v>
      </c>
      <c r="J582" s="97">
        <f t="shared" si="59"/>
        <v>1380000</v>
      </c>
    </row>
    <row r="583" spans="2:12" ht="15.95" customHeight="1">
      <c r="B583"/>
      <c r="C583" s="94"/>
      <c r="D583" s="902" t="s">
        <v>806</v>
      </c>
      <c r="E583" s="900"/>
      <c r="F583" s="901"/>
      <c r="G583" s="532">
        <v>4</v>
      </c>
      <c r="H583" s="532" t="s">
        <v>250</v>
      </c>
      <c r="I583" s="97">
        <v>16100</v>
      </c>
      <c r="J583" s="97">
        <f t="shared" si="59"/>
        <v>64400</v>
      </c>
    </row>
    <row r="584" spans="2:12" ht="15.95" customHeight="1">
      <c r="B584"/>
      <c r="C584" s="101"/>
      <c r="D584" s="811" t="s">
        <v>221</v>
      </c>
      <c r="E584" s="811"/>
      <c r="F584" s="811"/>
      <c r="G584" s="812"/>
      <c r="H584" s="812"/>
      <c r="I584" s="102"/>
      <c r="J584" s="109">
        <f>J561</f>
        <v>43345900</v>
      </c>
    </row>
    <row r="585" spans="2:12" ht="30" customHeight="1">
      <c r="B585"/>
      <c r="C585" s="200" t="s">
        <v>864</v>
      </c>
      <c r="D585" s="939" t="s">
        <v>901</v>
      </c>
      <c r="E585" s="940"/>
      <c r="F585" s="941"/>
      <c r="G585" s="933" t="s">
        <v>899</v>
      </c>
      <c r="H585" s="821"/>
      <c r="I585" s="87"/>
      <c r="J585" s="264">
        <f>SUM(J586+J594)</f>
        <v>14593200</v>
      </c>
    </row>
    <row r="586" spans="2:12" ht="15.95" customHeight="1">
      <c r="B586"/>
      <c r="C586" s="88">
        <v>2</v>
      </c>
      <c r="D586" s="939" t="s">
        <v>34</v>
      </c>
      <c r="E586" s="940"/>
      <c r="F586" s="941"/>
      <c r="G586" s="532" t="s">
        <v>630</v>
      </c>
      <c r="H586" s="532" t="s">
        <v>631</v>
      </c>
      <c r="I586" s="533" t="s">
        <v>825</v>
      </c>
      <c r="J586" s="99">
        <f>SUM(J587:J593)</f>
        <v>1718000</v>
      </c>
    </row>
    <row r="587" spans="2:12" ht="15.95" customHeight="1">
      <c r="B587"/>
      <c r="C587" s="91"/>
      <c r="D587" s="922" t="s">
        <v>214</v>
      </c>
      <c r="E587" s="923"/>
      <c r="F587" s="924"/>
      <c r="G587" s="532">
        <v>1</v>
      </c>
      <c r="H587" s="532" t="s">
        <v>233</v>
      </c>
      <c r="I587" s="92">
        <v>500000</v>
      </c>
      <c r="J587" s="92">
        <f>G587*I587</f>
        <v>500000</v>
      </c>
    </row>
    <row r="588" spans="2:12" ht="15.95" customHeight="1">
      <c r="B588"/>
      <c r="C588" s="91"/>
      <c r="D588" s="823" t="s">
        <v>41</v>
      </c>
      <c r="E588" s="823"/>
      <c r="F588" s="823"/>
      <c r="G588" s="937">
        <v>1018000</v>
      </c>
      <c r="H588" s="937"/>
      <c r="I588" s="92"/>
      <c r="J588" s="92"/>
      <c r="K588" s="82">
        <f>J585*7.5%</f>
        <v>1094490</v>
      </c>
    </row>
    <row r="589" spans="2:12" ht="15.95" customHeight="1">
      <c r="B589"/>
      <c r="C589" s="91"/>
      <c r="D589" s="835" t="s">
        <v>207</v>
      </c>
      <c r="E589" s="835"/>
      <c r="F589" s="835"/>
      <c r="G589" s="532">
        <v>1</v>
      </c>
      <c r="H589" s="532" t="s">
        <v>64</v>
      </c>
      <c r="I589" s="92">
        <f>G588*25%</f>
        <v>254500</v>
      </c>
      <c r="J589" s="92">
        <f>SUM(G589*I589)</f>
        <v>254500</v>
      </c>
    </row>
    <row r="590" spans="2:12" ht="15.95" customHeight="1">
      <c r="B590"/>
      <c r="C590" s="91"/>
      <c r="D590" s="835" t="s">
        <v>695</v>
      </c>
      <c r="E590" s="835"/>
      <c r="F590" s="835"/>
      <c r="G590" s="532">
        <v>1</v>
      </c>
      <c r="H590" s="532" t="s">
        <v>64</v>
      </c>
      <c r="I590" s="92">
        <f>G588*15%</f>
        <v>152700</v>
      </c>
      <c r="J590" s="92">
        <f>SUM(G590*I590)</f>
        <v>152700</v>
      </c>
    </row>
    <row r="591" spans="2:12" ht="15.95" customHeight="1">
      <c r="B591"/>
      <c r="C591" s="91"/>
      <c r="D591" s="835" t="s">
        <v>70</v>
      </c>
      <c r="E591" s="835"/>
      <c r="F591" s="835"/>
      <c r="G591" s="532">
        <v>6</v>
      </c>
      <c r="H591" s="532" t="s">
        <v>64</v>
      </c>
      <c r="I591" s="92">
        <f>G588*60%/6</f>
        <v>101800</v>
      </c>
      <c r="J591" s="92">
        <f>SUM(G591*I591)</f>
        <v>610800</v>
      </c>
    </row>
    <row r="592" spans="2:12" ht="15.95" customHeight="1">
      <c r="B592"/>
      <c r="C592" s="91"/>
      <c r="D592" s="836" t="s">
        <v>215</v>
      </c>
      <c r="E592" s="836"/>
      <c r="F592" s="836"/>
      <c r="G592" s="532">
        <v>1</v>
      </c>
      <c r="H592" s="532" t="s">
        <v>217</v>
      </c>
      <c r="I592" s="92">
        <v>150000</v>
      </c>
      <c r="J592" s="92">
        <f t="shared" ref="J592:J593" si="60">SUM(G592*I592)</f>
        <v>150000</v>
      </c>
    </row>
    <row r="593" spans="2:10" ht="15.95" customHeight="1">
      <c r="B593"/>
      <c r="C593" s="91"/>
      <c r="D593" s="836" t="s">
        <v>216</v>
      </c>
      <c r="E593" s="836"/>
      <c r="F593" s="836"/>
      <c r="G593" s="532">
        <v>1</v>
      </c>
      <c r="H593" s="532" t="s">
        <v>217</v>
      </c>
      <c r="I593" s="92">
        <v>50000</v>
      </c>
      <c r="J593" s="92">
        <f t="shared" si="60"/>
        <v>50000</v>
      </c>
    </row>
    <row r="594" spans="2:10" ht="15.95" customHeight="1">
      <c r="B594"/>
      <c r="C594" s="96">
        <v>3</v>
      </c>
      <c r="D594" s="813" t="s">
        <v>32</v>
      </c>
      <c r="E594" s="813"/>
      <c r="F594" s="813"/>
      <c r="G594" s="519"/>
      <c r="H594" s="519"/>
      <c r="I594" s="97"/>
      <c r="J594" s="98">
        <f>SUM(J595:J606)</f>
        <v>12875200</v>
      </c>
    </row>
    <row r="595" spans="2:10" ht="15.95" customHeight="1">
      <c r="B595"/>
      <c r="C595" s="96"/>
      <c r="D595" s="836" t="s">
        <v>628</v>
      </c>
      <c r="E595" s="836"/>
      <c r="F595" s="836"/>
      <c r="G595" s="789">
        <v>19</v>
      </c>
      <c r="H595" s="789" t="s">
        <v>644</v>
      </c>
      <c r="I595" s="95">
        <v>60000</v>
      </c>
      <c r="J595" s="92">
        <f t="shared" ref="J595:J599" si="61">SUM(G595*I595)</f>
        <v>1140000</v>
      </c>
    </row>
    <row r="596" spans="2:10" ht="15.95" customHeight="1">
      <c r="B596"/>
      <c r="C596" s="96"/>
      <c r="D596" s="837" t="s">
        <v>642</v>
      </c>
      <c r="E596" s="838"/>
      <c r="F596" s="839"/>
      <c r="G596" s="789">
        <v>11</v>
      </c>
      <c r="H596" s="789" t="s">
        <v>644</v>
      </c>
      <c r="I596" s="95">
        <v>70000</v>
      </c>
      <c r="J596" s="89">
        <f t="shared" si="61"/>
        <v>770000</v>
      </c>
    </row>
    <row r="597" spans="2:10" ht="15.95" customHeight="1">
      <c r="B597"/>
      <c r="C597" s="96"/>
      <c r="D597" s="837" t="s">
        <v>900</v>
      </c>
      <c r="E597" s="838"/>
      <c r="F597" s="839"/>
      <c r="G597" s="789">
        <v>11</v>
      </c>
      <c r="H597" s="789" t="s">
        <v>644</v>
      </c>
      <c r="I597" s="95">
        <v>60000</v>
      </c>
      <c r="J597" s="89">
        <f t="shared" si="61"/>
        <v>660000</v>
      </c>
    </row>
    <row r="598" spans="2:10" ht="15.95" customHeight="1">
      <c r="B598"/>
      <c r="C598" s="96"/>
      <c r="D598" s="837" t="s">
        <v>780</v>
      </c>
      <c r="E598" s="838"/>
      <c r="F598" s="839"/>
      <c r="G598" s="789">
        <v>2</v>
      </c>
      <c r="H598" s="789" t="s">
        <v>217</v>
      </c>
      <c r="I598" s="95">
        <v>3500</v>
      </c>
      <c r="J598" s="89">
        <f t="shared" si="61"/>
        <v>7000</v>
      </c>
    </row>
    <row r="599" spans="2:10" ht="15.95" customHeight="1">
      <c r="B599"/>
      <c r="C599" s="96"/>
      <c r="D599" s="837" t="s">
        <v>715</v>
      </c>
      <c r="E599" s="838"/>
      <c r="F599" s="839"/>
      <c r="G599" s="789">
        <v>10</v>
      </c>
      <c r="H599" s="789" t="s">
        <v>699</v>
      </c>
      <c r="I599" s="95">
        <v>27600</v>
      </c>
      <c r="J599" s="89">
        <f t="shared" si="61"/>
        <v>276000</v>
      </c>
    </row>
    <row r="600" spans="2:10" ht="15.95" customHeight="1">
      <c r="B600"/>
      <c r="C600" s="94"/>
      <c r="D600" s="834" t="s">
        <v>702</v>
      </c>
      <c r="E600" s="835"/>
      <c r="F600" s="835"/>
      <c r="G600" s="532">
        <v>4</v>
      </c>
      <c r="H600" s="532" t="s">
        <v>241</v>
      </c>
      <c r="I600" s="97">
        <v>220000</v>
      </c>
      <c r="J600" s="97">
        <f>G600*I600</f>
        <v>880000</v>
      </c>
    </row>
    <row r="601" spans="2:10" ht="15.95" customHeight="1">
      <c r="B601"/>
      <c r="C601" s="94"/>
      <c r="D601" s="834" t="s">
        <v>700</v>
      </c>
      <c r="E601" s="835"/>
      <c r="F601" s="835"/>
      <c r="G601" s="94">
        <v>2</v>
      </c>
      <c r="H601" s="94" t="s">
        <v>102</v>
      </c>
      <c r="I601" s="97">
        <v>220000</v>
      </c>
      <c r="J601" s="97">
        <f t="shared" ref="J601:J606" si="62">G601*I601</f>
        <v>440000</v>
      </c>
    </row>
    <row r="602" spans="2:10" ht="15.95" customHeight="1">
      <c r="B602"/>
      <c r="C602" s="94"/>
      <c r="D602" s="834" t="s">
        <v>758</v>
      </c>
      <c r="E602" s="835"/>
      <c r="F602" s="835"/>
      <c r="G602" s="532">
        <v>34</v>
      </c>
      <c r="H602" s="532" t="s">
        <v>241</v>
      </c>
      <c r="I602" s="97">
        <v>75000</v>
      </c>
      <c r="J602" s="97">
        <f t="shared" si="62"/>
        <v>2550000</v>
      </c>
    </row>
    <row r="603" spans="2:10" ht="15.95" customHeight="1">
      <c r="B603"/>
      <c r="C603" s="94"/>
      <c r="D603" s="902" t="s">
        <v>902</v>
      </c>
      <c r="E603" s="915"/>
      <c r="F603" s="916"/>
      <c r="G603" s="532">
        <v>50</v>
      </c>
      <c r="H603" s="532" t="s">
        <v>241</v>
      </c>
      <c r="I603" s="97">
        <v>88000</v>
      </c>
      <c r="J603" s="97">
        <f t="shared" si="62"/>
        <v>4400000</v>
      </c>
    </row>
    <row r="604" spans="2:10" ht="15.95" customHeight="1">
      <c r="B604"/>
      <c r="C604" s="94"/>
      <c r="D604" s="902" t="s">
        <v>708</v>
      </c>
      <c r="E604" s="915"/>
      <c r="F604" s="916"/>
      <c r="G604" s="532">
        <v>4</v>
      </c>
      <c r="H604" s="532" t="s">
        <v>241</v>
      </c>
      <c r="I604" s="97">
        <v>280000</v>
      </c>
      <c r="J604" s="97">
        <f t="shared" si="62"/>
        <v>1120000</v>
      </c>
    </row>
    <row r="605" spans="2:10" ht="15.95" customHeight="1">
      <c r="B605"/>
      <c r="C605" s="94"/>
      <c r="D605" s="902" t="s">
        <v>701</v>
      </c>
      <c r="E605" s="900"/>
      <c r="F605" s="901"/>
      <c r="G605" s="532">
        <v>2</v>
      </c>
      <c r="H605" s="532" t="s">
        <v>102</v>
      </c>
      <c r="I605" s="97">
        <v>300000</v>
      </c>
      <c r="J605" s="97">
        <f t="shared" si="62"/>
        <v>600000</v>
      </c>
    </row>
    <row r="606" spans="2:10" ht="15.95" customHeight="1">
      <c r="B606"/>
      <c r="C606" s="94"/>
      <c r="D606" s="902" t="s">
        <v>806</v>
      </c>
      <c r="E606" s="900"/>
      <c r="F606" s="901"/>
      <c r="G606" s="532">
        <v>2</v>
      </c>
      <c r="H606" s="532" t="s">
        <v>250</v>
      </c>
      <c r="I606" s="97">
        <v>16100</v>
      </c>
      <c r="J606" s="97">
        <f t="shared" si="62"/>
        <v>32200</v>
      </c>
    </row>
    <row r="607" spans="2:10" ht="15.95" customHeight="1">
      <c r="B607"/>
      <c r="C607" s="101"/>
      <c r="D607" s="811" t="s">
        <v>221</v>
      </c>
      <c r="E607" s="811"/>
      <c r="F607" s="811"/>
      <c r="G607" s="812"/>
      <c r="H607" s="812"/>
      <c r="I607" s="102"/>
      <c r="J607" s="109">
        <f>J585</f>
        <v>14593200</v>
      </c>
    </row>
    <row r="608" spans="2:10" ht="30.75" customHeight="1">
      <c r="B608"/>
      <c r="C608" s="200" t="s">
        <v>890</v>
      </c>
      <c r="D608" s="939" t="s">
        <v>891</v>
      </c>
      <c r="E608" s="940"/>
      <c r="F608" s="941"/>
      <c r="G608" s="933" t="s">
        <v>816</v>
      </c>
      <c r="H608" s="821"/>
      <c r="I608" s="87"/>
      <c r="J608" s="264">
        <f>SUM(J609+J617)</f>
        <v>9893300</v>
      </c>
    </row>
    <row r="609" spans="2:14" ht="15.95" customHeight="1">
      <c r="B609"/>
      <c r="C609" s="88">
        <v>2</v>
      </c>
      <c r="D609" s="939" t="s">
        <v>34</v>
      </c>
      <c r="E609" s="940"/>
      <c r="F609" s="941"/>
      <c r="G609" s="532" t="s">
        <v>630</v>
      </c>
      <c r="H609" s="532" t="s">
        <v>631</v>
      </c>
      <c r="I609" s="533" t="s">
        <v>825</v>
      </c>
      <c r="J609" s="99">
        <f>SUM(J610:J616)</f>
        <v>1392700</v>
      </c>
    </row>
    <row r="610" spans="2:14" ht="15.95" customHeight="1">
      <c r="B610"/>
      <c r="C610" s="91"/>
      <c r="D610" s="922" t="s">
        <v>214</v>
      </c>
      <c r="E610" s="923"/>
      <c r="F610" s="924"/>
      <c r="G610" s="532">
        <v>1</v>
      </c>
      <c r="H610" s="532" t="s">
        <v>233</v>
      </c>
      <c r="I610" s="92">
        <v>500000</v>
      </c>
      <c r="J610" s="92">
        <f>G610*I610</f>
        <v>500000</v>
      </c>
      <c r="L610" s="82">
        <v>723100</v>
      </c>
    </row>
    <row r="611" spans="2:14" ht="15.95" customHeight="1">
      <c r="B611"/>
      <c r="C611" s="91"/>
      <c r="D611" s="823" t="s">
        <v>41</v>
      </c>
      <c r="E611" s="823"/>
      <c r="F611" s="823"/>
      <c r="G611" s="937">
        <v>692700</v>
      </c>
      <c r="H611" s="937"/>
      <c r="I611" s="92"/>
      <c r="J611" s="92"/>
      <c r="K611" s="82">
        <f>J608*7.5%</f>
        <v>741997.5</v>
      </c>
      <c r="L611" s="82">
        <v>693000</v>
      </c>
    </row>
    <row r="612" spans="2:14" ht="15.95" customHeight="1">
      <c r="B612"/>
      <c r="C612" s="91"/>
      <c r="D612" s="835" t="s">
        <v>207</v>
      </c>
      <c r="E612" s="835"/>
      <c r="F612" s="835"/>
      <c r="G612" s="532">
        <v>1</v>
      </c>
      <c r="H612" s="532" t="s">
        <v>64</v>
      </c>
      <c r="I612" s="92">
        <f>G611*25%</f>
        <v>173175</v>
      </c>
      <c r="J612" s="92">
        <f>SUM(G612*I612)</f>
        <v>173175</v>
      </c>
      <c r="L612" s="82">
        <f>SUM(L610-L611)</f>
        <v>30100</v>
      </c>
      <c r="M612" s="82">
        <v>800</v>
      </c>
      <c r="N612" s="82">
        <f>SUM(L612/M612)</f>
        <v>37.625</v>
      </c>
    </row>
    <row r="613" spans="2:14" ht="15.95" customHeight="1">
      <c r="B613"/>
      <c r="C613" s="91"/>
      <c r="D613" s="835" t="s">
        <v>695</v>
      </c>
      <c r="E613" s="835"/>
      <c r="F613" s="835"/>
      <c r="G613" s="532">
        <v>1</v>
      </c>
      <c r="H613" s="532" t="s">
        <v>64</v>
      </c>
      <c r="I613" s="92">
        <f>G611*15%</f>
        <v>103905</v>
      </c>
      <c r="J613" s="92">
        <f>SUM(G613*I613)</f>
        <v>103905</v>
      </c>
    </row>
    <row r="614" spans="2:14" ht="15.95" customHeight="1">
      <c r="B614"/>
      <c r="C614" s="91"/>
      <c r="D614" s="835" t="s">
        <v>70</v>
      </c>
      <c r="E614" s="835"/>
      <c r="F614" s="835"/>
      <c r="G614" s="532">
        <v>6</v>
      </c>
      <c r="H614" s="532" t="s">
        <v>64</v>
      </c>
      <c r="I614" s="92">
        <f>G611*60%/6</f>
        <v>69270</v>
      </c>
      <c r="J614" s="92">
        <f>SUM(G614*I614)</f>
        <v>415620</v>
      </c>
      <c r="L614" s="82" t="s">
        <v>742</v>
      </c>
    </row>
    <row r="615" spans="2:14" ht="15.95" customHeight="1">
      <c r="B615"/>
      <c r="C615" s="91"/>
      <c r="D615" s="836" t="s">
        <v>215</v>
      </c>
      <c r="E615" s="836"/>
      <c r="F615" s="836"/>
      <c r="G615" s="532">
        <v>1</v>
      </c>
      <c r="H615" s="532" t="s">
        <v>217</v>
      </c>
      <c r="I615" s="92">
        <v>150000</v>
      </c>
      <c r="J615" s="92">
        <f t="shared" ref="J615:J616" si="63">SUM(G615*I615)</f>
        <v>150000</v>
      </c>
      <c r="L615" s="82" t="s">
        <v>296</v>
      </c>
    </row>
    <row r="616" spans="2:14" ht="18" customHeight="1">
      <c r="B616"/>
      <c r="C616" s="91"/>
      <c r="D616" s="836" t="s">
        <v>216</v>
      </c>
      <c r="E616" s="836"/>
      <c r="F616" s="836"/>
      <c r="G616" s="532">
        <v>1</v>
      </c>
      <c r="H616" s="532" t="s">
        <v>217</v>
      </c>
      <c r="I616" s="92">
        <v>50000</v>
      </c>
      <c r="J616" s="92">
        <f t="shared" si="63"/>
        <v>50000</v>
      </c>
      <c r="L616" s="82" t="s">
        <v>287</v>
      </c>
    </row>
    <row r="617" spans="2:14" ht="18" customHeight="1">
      <c r="B617"/>
      <c r="C617" s="96">
        <v>3</v>
      </c>
      <c r="D617" s="813" t="s">
        <v>32</v>
      </c>
      <c r="E617" s="813"/>
      <c r="F617" s="813"/>
      <c r="G617" s="519"/>
      <c r="H617" s="519"/>
      <c r="I617" s="97"/>
      <c r="J617" s="98">
        <f>SUM(J618:J627)</f>
        <v>8500600</v>
      </c>
      <c r="L617" s="82" t="s">
        <v>299</v>
      </c>
    </row>
    <row r="618" spans="2:14" ht="18" customHeight="1">
      <c r="B618"/>
      <c r="C618" s="96"/>
      <c r="D618" s="836" t="s">
        <v>628</v>
      </c>
      <c r="E618" s="836"/>
      <c r="F618" s="836"/>
      <c r="G618" s="789">
        <v>30</v>
      </c>
      <c r="H618" s="789" t="s">
        <v>644</v>
      </c>
      <c r="I618" s="95">
        <v>60000</v>
      </c>
      <c r="J618" s="92">
        <f t="shared" ref="J618:J622" si="64">SUM(G618*I618)</f>
        <v>1800000</v>
      </c>
    </row>
    <row r="619" spans="2:14" ht="18" customHeight="1">
      <c r="B619"/>
      <c r="C619" s="96"/>
      <c r="D619" s="837" t="s">
        <v>642</v>
      </c>
      <c r="E619" s="838"/>
      <c r="F619" s="839"/>
      <c r="G619" s="789">
        <v>15</v>
      </c>
      <c r="H619" s="789" t="s">
        <v>644</v>
      </c>
      <c r="I619" s="95">
        <v>70000</v>
      </c>
      <c r="J619" s="89">
        <f t="shared" si="64"/>
        <v>1050000</v>
      </c>
    </row>
    <row r="620" spans="2:14" ht="18" customHeight="1">
      <c r="B620"/>
      <c r="C620" s="96"/>
      <c r="D620" s="837" t="s">
        <v>892</v>
      </c>
      <c r="E620" s="838"/>
      <c r="F620" s="839"/>
      <c r="G620" s="789">
        <v>10</v>
      </c>
      <c r="H620" s="789" t="s">
        <v>644</v>
      </c>
      <c r="I620" s="95">
        <v>60000</v>
      </c>
      <c r="J620" s="89">
        <f t="shared" si="64"/>
        <v>600000</v>
      </c>
    </row>
    <row r="621" spans="2:14" ht="18" customHeight="1">
      <c r="B621"/>
      <c r="C621" s="96"/>
      <c r="D621" s="837" t="s">
        <v>780</v>
      </c>
      <c r="E621" s="838"/>
      <c r="F621" s="839"/>
      <c r="G621" s="789">
        <v>2</v>
      </c>
      <c r="H621" s="789" t="s">
        <v>217</v>
      </c>
      <c r="I621" s="95">
        <v>3500</v>
      </c>
      <c r="J621" s="89">
        <f t="shared" si="64"/>
        <v>7000</v>
      </c>
    </row>
    <row r="622" spans="2:14" ht="18" customHeight="1">
      <c r="B622"/>
      <c r="C622" s="96"/>
      <c r="D622" s="837" t="s">
        <v>715</v>
      </c>
      <c r="E622" s="838"/>
      <c r="F622" s="839"/>
      <c r="G622" s="789">
        <v>10</v>
      </c>
      <c r="H622" s="789" t="s">
        <v>699</v>
      </c>
      <c r="I622" s="95">
        <v>27600</v>
      </c>
      <c r="J622" s="89">
        <f t="shared" si="64"/>
        <v>276000</v>
      </c>
    </row>
    <row r="623" spans="2:14" ht="18" customHeight="1">
      <c r="B623"/>
      <c r="C623" s="94"/>
      <c r="D623" s="834" t="s">
        <v>703</v>
      </c>
      <c r="E623" s="835"/>
      <c r="F623" s="835"/>
      <c r="G623" s="532">
        <v>1038</v>
      </c>
      <c r="H623" s="532" t="s">
        <v>241</v>
      </c>
      <c r="I623" s="97">
        <v>800</v>
      </c>
      <c r="J623" s="97">
        <f>G623*I623</f>
        <v>830400</v>
      </c>
      <c r="L623" s="82" t="s">
        <v>604</v>
      </c>
    </row>
    <row r="624" spans="2:14" ht="18" customHeight="1">
      <c r="B624"/>
      <c r="C624" s="94"/>
      <c r="D624" s="834" t="s">
        <v>700</v>
      </c>
      <c r="E624" s="835"/>
      <c r="F624" s="835"/>
      <c r="G624" s="94">
        <v>4</v>
      </c>
      <c r="H624" s="94" t="s">
        <v>102</v>
      </c>
      <c r="I624" s="97">
        <v>220000</v>
      </c>
      <c r="J624" s="97">
        <f t="shared" ref="J624:J627" si="65">G624*I624</f>
        <v>880000</v>
      </c>
    </row>
    <row r="625" spans="2:14" ht="18" customHeight="1">
      <c r="B625"/>
      <c r="C625" s="94"/>
      <c r="D625" s="834" t="s">
        <v>758</v>
      </c>
      <c r="E625" s="835"/>
      <c r="F625" s="835"/>
      <c r="G625" s="532">
        <v>22</v>
      </c>
      <c r="H625" s="532" t="s">
        <v>241</v>
      </c>
      <c r="I625" s="97">
        <v>75000</v>
      </c>
      <c r="J625" s="97">
        <f t="shared" si="65"/>
        <v>1650000</v>
      </c>
      <c r="N625" s="82">
        <f>84+34</f>
        <v>118</v>
      </c>
    </row>
    <row r="626" spans="2:14" ht="18" customHeight="1">
      <c r="B626"/>
      <c r="C626" s="94"/>
      <c r="D626" s="902" t="s">
        <v>894</v>
      </c>
      <c r="E626" s="915"/>
      <c r="F626" s="916"/>
      <c r="G626" s="532">
        <v>50</v>
      </c>
      <c r="H626" s="532" t="s">
        <v>241</v>
      </c>
      <c r="I626" s="97">
        <v>27500</v>
      </c>
      <c r="J626" s="97">
        <f t="shared" si="65"/>
        <v>1375000</v>
      </c>
      <c r="N626" s="82">
        <f>180*0.3*0.4</f>
        <v>21.6</v>
      </c>
    </row>
    <row r="627" spans="2:14" ht="18" customHeight="1">
      <c r="B627"/>
      <c r="C627" s="94"/>
      <c r="D627" s="902" t="s">
        <v>806</v>
      </c>
      <c r="E627" s="900"/>
      <c r="F627" s="901"/>
      <c r="G627" s="532">
        <v>2</v>
      </c>
      <c r="H627" s="532" t="s">
        <v>250</v>
      </c>
      <c r="I627" s="97">
        <v>16100</v>
      </c>
      <c r="J627" s="97">
        <f t="shared" si="65"/>
        <v>32200</v>
      </c>
      <c r="L627" s="82" t="s">
        <v>817</v>
      </c>
    </row>
    <row r="628" spans="2:14" ht="18" customHeight="1">
      <c r="B628"/>
      <c r="C628" s="101"/>
      <c r="D628" s="811" t="s">
        <v>221</v>
      </c>
      <c r="E628" s="811"/>
      <c r="F628" s="811"/>
      <c r="G628" s="812"/>
      <c r="H628" s="812"/>
      <c r="I628" s="102"/>
      <c r="J628" s="109">
        <f>J608</f>
        <v>9893300</v>
      </c>
    </row>
    <row r="629" spans="2:14" ht="30" customHeight="1">
      <c r="B629"/>
      <c r="C629" s="200" t="s">
        <v>903</v>
      </c>
      <c r="D629" s="820" t="s">
        <v>906</v>
      </c>
      <c r="E629" s="820"/>
      <c r="F629" s="820"/>
      <c r="G629" s="821" t="s">
        <v>905</v>
      </c>
      <c r="H629" s="821"/>
      <c r="I629" s="87"/>
      <c r="J629" s="264">
        <f>J630+J638</f>
        <v>11195300</v>
      </c>
    </row>
    <row r="630" spans="2:14" ht="18" customHeight="1">
      <c r="B630"/>
      <c r="C630" s="88">
        <v>2</v>
      </c>
      <c r="D630" s="820" t="s">
        <v>34</v>
      </c>
      <c r="E630" s="820"/>
      <c r="F630" s="820"/>
      <c r="G630" s="532" t="s">
        <v>630</v>
      </c>
      <c r="H630" s="532" t="s">
        <v>631</v>
      </c>
      <c r="I630" s="533" t="s">
        <v>825</v>
      </c>
      <c r="J630" s="99">
        <f>SUM(J631:J637)</f>
        <v>1231000</v>
      </c>
    </row>
    <row r="631" spans="2:14" ht="18" customHeight="1">
      <c r="B631"/>
      <c r="C631" s="91"/>
      <c r="D631" s="822" t="s">
        <v>214</v>
      </c>
      <c r="E631" s="822"/>
      <c r="F631" s="822"/>
      <c r="G631" s="532">
        <v>1</v>
      </c>
      <c r="H631" s="532" t="s">
        <v>233</v>
      </c>
      <c r="I631" s="92">
        <v>250000</v>
      </c>
      <c r="J631" s="92">
        <f>G631*I631</f>
        <v>250000</v>
      </c>
    </row>
    <row r="632" spans="2:14" ht="18" customHeight="1">
      <c r="B632"/>
      <c r="C632" s="91"/>
      <c r="D632" s="823" t="s">
        <v>41</v>
      </c>
      <c r="E632" s="823"/>
      <c r="F632" s="823"/>
      <c r="G632" s="937">
        <v>781000</v>
      </c>
      <c r="H632" s="937"/>
      <c r="I632" s="92"/>
      <c r="J632" s="92"/>
      <c r="K632" s="82">
        <f>J629*7.5%</f>
        <v>839647.5</v>
      </c>
    </row>
    <row r="633" spans="2:14" ht="18" customHeight="1">
      <c r="B633"/>
      <c r="C633" s="91"/>
      <c r="D633" s="835" t="s">
        <v>207</v>
      </c>
      <c r="E633" s="835"/>
      <c r="F633" s="835"/>
      <c r="G633" s="532">
        <v>1</v>
      </c>
      <c r="H633" s="532" t="s">
        <v>64</v>
      </c>
      <c r="I633" s="92">
        <f>G632*25%</f>
        <v>195250</v>
      </c>
      <c r="J633" s="92">
        <f>SUM(G633*I633)</f>
        <v>195250</v>
      </c>
    </row>
    <row r="634" spans="2:14" ht="18" customHeight="1">
      <c r="B634"/>
      <c r="C634" s="91"/>
      <c r="D634" s="835" t="s">
        <v>695</v>
      </c>
      <c r="E634" s="835"/>
      <c r="F634" s="835"/>
      <c r="G634" s="532">
        <v>1</v>
      </c>
      <c r="H634" s="532" t="s">
        <v>64</v>
      </c>
      <c r="I634" s="92">
        <f>G632*15%</f>
        <v>117150</v>
      </c>
      <c r="J634" s="92">
        <f>SUM(G634*I634)</f>
        <v>117150</v>
      </c>
    </row>
    <row r="635" spans="2:14" ht="18" customHeight="1">
      <c r="B635"/>
      <c r="C635" s="91"/>
      <c r="D635" s="835" t="s">
        <v>70</v>
      </c>
      <c r="E635" s="835"/>
      <c r="F635" s="835"/>
      <c r="G635" s="532">
        <v>6</v>
      </c>
      <c r="H635" s="532" t="s">
        <v>64</v>
      </c>
      <c r="I635" s="92">
        <f>G632*60%/6</f>
        <v>78100</v>
      </c>
      <c r="J635" s="92">
        <f>SUM(G635*I635)</f>
        <v>468600</v>
      </c>
    </row>
    <row r="636" spans="2:14" ht="15.95" customHeight="1">
      <c r="B636"/>
      <c r="C636" s="91"/>
      <c r="D636" s="836" t="s">
        <v>215</v>
      </c>
      <c r="E636" s="836"/>
      <c r="F636" s="836"/>
      <c r="G636" s="532">
        <v>1</v>
      </c>
      <c r="H636" s="532" t="s">
        <v>217</v>
      </c>
      <c r="I636" s="92">
        <v>150000</v>
      </c>
      <c r="J636" s="92">
        <f t="shared" ref="J636:J637" si="66">SUM(G636*I636)</f>
        <v>150000</v>
      </c>
    </row>
    <row r="637" spans="2:14" ht="15.95" customHeight="1">
      <c r="B637"/>
      <c r="C637" s="91"/>
      <c r="D637" s="836" t="s">
        <v>216</v>
      </c>
      <c r="E637" s="836"/>
      <c r="F637" s="836"/>
      <c r="G637" s="532">
        <v>1</v>
      </c>
      <c r="H637" s="532" t="s">
        <v>217</v>
      </c>
      <c r="I637" s="92">
        <v>50000</v>
      </c>
      <c r="J637" s="92">
        <f t="shared" si="66"/>
        <v>50000</v>
      </c>
    </row>
    <row r="638" spans="2:14" ht="18" customHeight="1">
      <c r="B638"/>
      <c r="C638" s="96">
        <v>3</v>
      </c>
      <c r="D638" s="813" t="s">
        <v>32</v>
      </c>
      <c r="E638" s="813"/>
      <c r="F638" s="813"/>
      <c r="G638" s="519"/>
      <c r="H638" s="519"/>
      <c r="I638" s="97"/>
      <c r="J638" s="98">
        <f>SUM(J639:J646)</f>
        <v>9964300</v>
      </c>
    </row>
    <row r="639" spans="2:14" ht="18" customHeight="1">
      <c r="B639"/>
      <c r="C639" s="96"/>
      <c r="D639" s="837" t="s">
        <v>628</v>
      </c>
      <c r="E639" s="838"/>
      <c r="F639" s="839"/>
      <c r="G639" s="789">
        <v>24</v>
      </c>
      <c r="H639" s="789" t="s">
        <v>644</v>
      </c>
      <c r="I639" s="92">
        <v>60000</v>
      </c>
      <c r="J639" s="92">
        <f t="shared" ref="J639:J642" si="67">SUM(G639*I639)</f>
        <v>1440000</v>
      </c>
    </row>
    <row r="640" spans="2:14" ht="18" customHeight="1">
      <c r="B640"/>
      <c r="C640" s="96"/>
      <c r="D640" s="836" t="s">
        <v>642</v>
      </c>
      <c r="E640" s="836"/>
      <c r="F640" s="836"/>
      <c r="G640" s="789">
        <v>14</v>
      </c>
      <c r="H640" s="789" t="s">
        <v>644</v>
      </c>
      <c r="I640" s="95">
        <v>70000</v>
      </c>
      <c r="J640" s="92">
        <f t="shared" si="67"/>
        <v>980000</v>
      </c>
    </row>
    <row r="641" spans="2:10" ht="18" customHeight="1">
      <c r="B641"/>
      <c r="C641" s="96"/>
      <c r="D641" s="837" t="s">
        <v>715</v>
      </c>
      <c r="E641" s="838"/>
      <c r="F641" s="839"/>
      <c r="G641" s="789">
        <v>7</v>
      </c>
      <c r="H641" s="789" t="s">
        <v>699</v>
      </c>
      <c r="I641" s="95">
        <v>27600</v>
      </c>
      <c r="J641" s="89">
        <f t="shared" si="67"/>
        <v>193200</v>
      </c>
    </row>
    <row r="642" spans="2:10" ht="18" customHeight="1">
      <c r="B642"/>
      <c r="C642" s="96"/>
      <c r="D642" s="837" t="s">
        <v>719</v>
      </c>
      <c r="E642" s="838"/>
      <c r="F642" s="839"/>
      <c r="G642" s="789">
        <v>10</v>
      </c>
      <c r="H642" s="789" t="s">
        <v>217</v>
      </c>
      <c r="I642" s="95">
        <v>14500</v>
      </c>
      <c r="J642" s="89">
        <f t="shared" si="67"/>
        <v>145000</v>
      </c>
    </row>
    <row r="643" spans="2:10" ht="18" customHeight="1">
      <c r="B643"/>
      <c r="C643" s="94"/>
      <c r="D643" s="834" t="s">
        <v>701</v>
      </c>
      <c r="E643" s="835"/>
      <c r="F643" s="835"/>
      <c r="G643" s="532">
        <v>5</v>
      </c>
      <c r="H643" s="532" t="s">
        <v>241</v>
      </c>
      <c r="I643" s="97">
        <v>300000</v>
      </c>
      <c r="J643" s="97">
        <f>G643*I643</f>
        <v>1500000</v>
      </c>
    </row>
    <row r="644" spans="2:10" ht="18" customHeight="1">
      <c r="B644"/>
      <c r="C644" s="94"/>
      <c r="D644" s="834" t="s">
        <v>708</v>
      </c>
      <c r="E644" s="835"/>
      <c r="F644" s="835"/>
      <c r="G644" s="94">
        <v>8</v>
      </c>
      <c r="H644" s="94" t="s">
        <v>102</v>
      </c>
      <c r="I644" s="97">
        <v>280000</v>
      </c>
      <c r="J644" s="97">
        <f t="shared" ref="J644:J646" si="68">G644*I644</f>
        <v>2240000</v>
      </c>
    </row>
    <row r="645" spans="2:10" ht="18" customHeight="1">
      <c r="B645"/>
      <c r="C645" s="94"/>
      <c r="D645" s="834" t="s">
        <v>758</v>
      </c>
      <c r="E645" s="835"/>
      <c r="F645" s="835"/>
      <c r="G645" s="252">
        <v>46</v>
      </c>
      <c r="H645" s="532" t="s">
        <v>241</v>
      </c>
      <c r="I645" s="97">
        <v>75000</v>
      </c>
      <c r="J645" s="97">
        <f t="shared" si="68"/>
        <v>3450000</v>
      </c>
    </row>
    <row r="646" spans="2:10" ht="18" customHeight="1">
      <c r="B646"/>
      <c r="C646" s="94"/>
      <c r="D646" s="834" t="s">
        <v>776</v>
      </c>
      <c r="E646" s="835"/>
      <c r="F646" s="835"/>
      <c r="G646" s="532">
        <v>1</v>
      </c>
      <c r="H646" s="532" t="s">
        <v>250</v>
      </c>
      <c r="I646" s="97">
        <v>16100</v>
      </c>
      <c r="J646" s="97">
        <f t="shared" si="68"/>
        <v>16100</v>
      </c>
    </row>
    <row r="647" spans="2:10" ht="18" customHeight="1">
      <c r="B647"/>
      <c r="C647" s="101"/>
      <c r="D647" s="811" t="s">
        <v>221</v>
      </c>
      <c r="E647" s="811"/>
      <c r="F647" s="811"/>
      <c r="G647" s="812"/>
      <c r="H647" s="812"/>
      <c r="I647" s="102"/>
      <c r="J647" s="109">
        <f>J629</f>
        <v>11195300</v>
      </c>
    </row>
    <row r="648" spans="2:10" ht="18" customHeight="1">
      <c r="B648"/>
      <c r="C648"/>
      <c r="D648" s="522"/>
      <c r="E648" s="77"/>
      <c r="F648" s="77"/>
      <c r="G648" s="79"/>
      <c r="H648" s="810" t="s">
        <v>982</v>
      </c>
      <c r="I648" s="810"/>
      <c r="J648" s="810"/>
    </row>
    <row r="649" spans="2:10" ht="18" customHeight="1">
      <c r="B649"/>
      <c r="C649"/>
      <c r="D649" s="77"/>
      <c r="E649" s="78" t="s">
        <v>76</v>
      </c>
      <c r="F649" s="78"/>
      <c r="G649" s="79"/>
      <c r="H649" s="810" t="s">
        <v>77</v>
      </c>
      <c r="I649" s="810"/>
      <c r="J649" s="810"/>
    </row>
    <row r="650" spans="2:10" ht="18" customHeight="1">
      <c r="B650"/>
      <c r="C650"/>
      <c r="D650" s="77"/>
      <c r="E650" s="78" t="s">
        <v>78</v>
      </c>
      <c r="F650" s="522"/>
      <c r="G650" s="79"/>
      <c r="H650" s="79"/>
      <c r="I650" s="104"/>
      <c r="J650" s="104"/>
    </row>
    <row r="651" spans="2:10" ht="18" customHeight="1">
      <c r="B651"/>
      <c r="C651"/>
      <c r="D651" s="522"/>
      <c r="E651" s="522"/>
      <c r="F651" s="522"/>
      <c r="G651" s="79"/>
      <c r="H651" s="79"/>
      <c r="I651" s="80"/>
      <c r="J651" s="80"/>
    </row>
    <row r="652" spans="2:10" ht="18" customHeight="1">
      <c r="D652" s="522"/>
      <c r="E652" s="522"/>
      <c r="F652" s="522"/>
      <c r="G652" s="79"/>
      <c r="H652" s="79"/>
      <c r="I652" s="80"/>
      <c r="J652" s="80"/>
    </row>
    <row r="653" spans="2:10" ht="18" customHeight="1">
      <c r="D653" s="522"/>
      <c r="E653" s="522"/>
      <c r="F653" s="522"/>
      <c r="G653" s="79"/>
      <c r="H653" s="79"/>
      <c r="I653" s="80"/>
      <c r="J653" s="80"/>
    </row>
    <row r="654" spans="2:10" ht="15.95" customHeight="1">
      <c r="B654"/>
      <c r="C654"/>
      <c r="D654" s="522"/>
      <c r="E654" s="78" t="s">
        <v>51</v>
      </c>
      <c r="F654" s="78"/>
      <c r="G654" s="79"/>
      <c r="H654" s="810" t="s">
        <v>225</v>
      </c>
      <c r="I654" s="810"/>
      <c r="J654" s="810"/>
    </row>
    <row r="655" spans="2:10" ht="15.95" customHeight="1">
      <c r="B655"/>
      <c r="C655"/>
      <c r="D655"/>
      <c r="E655"/>
      <c r="F655"/>
      <c r="G655"/>
      <c r="H655"/>
      <c r="I655"/>
      <c r="J655"/>
    </row>
    <row r="656" spans="2:10" ht="15.95" customHeight="1">
      <c r="B656" s="824" t="s">
        <v>54</v>
      </c>
      <c r="C656" s="824"/>
      <c r="D656" s="824"/>
      <c r="E656" s="824"/>
      <c r="F656" s="824"/>
      <c r="G656" s="824"/>
      <c r="H656" s="824"/>
      <c r="I656" s="824"/>
      <c r="J656" s="824"/>
    </row>
    <row r="657" spans="2:13" ht="15.95" customHeight="1">
      <c r="B657" s="824" t="s">
        <v>55</v>
      </c>
      <c r="C657" s="824"/>
      <c r="D657" s="824"/>
      <c r="E657" s="824"/>
      <c r="F657" s="824"/>
      <c r="G657" s="824"/>
      <c r="H657" s="824"/>
      <c r="I657" s="824"/>
      <c r="J657" s="824"/>
    </row>
    <row r="658" spans="2:13" ht="15.95" customHeight="1">
      <c r="B658" s="824" t="s">
        <v>914</v>
      </c>
      <c r="C658" s="824"/>
      <c r="D658" s="824"/>
      <c r="E658" s="824"/>
      <c r="F658" s="824"/>
      <c r="G658" s="824"/>
      <c r="H658" s="824"/>
      <c r="I658" s="824"/>
      <c r="J658" s="824"/>
    </row>
    <row r="659" spans="2:13" ht="15.95" customHeight="1">
      <c r="B659" s="77"/>
      <c r="C659" s="78"/>
      <c r="D659" s="78"/>
      <c r="E659" s="77"/>
      <c r="F659" s="77"/>
      <c r="G659" s="79"/>
      <c r="H659" s="79"/>
      <c r="I659" s="80"/>
      <c r="J659" s="80"/>
    </row>
    <row r="660" spans="2:13" ht="15.95" customHeight="1">
      <c r="B660" s="78">
        <v>1</v>
      </c>
      <c r="C660" s="249" t="s">
        <v>172</v>
      </c>
      <c r="D660" s="249"/>
      <c r="E660" s="249" t="s">
        <v>474</v>
      </c>
      <c r="F660" s="249"/>
    </row>
    <row r="661" spans="2:13" ht="15.95" customHeight="1">
      <c r="B661" s="78">
        <v>2</v>
      </c>
      <c r="C661" s="249" t="s">
        <v>173</v>
      </c>
      <c r="D661" s="249"/>
      <c r="E661" s="825" t="s">
        <v>881</v>
      </c>
      <c r="F661" s="825"/>
      <c r="G661" s="825"/>
      <c r="H661" s="825"/>
      <c r="I661" s="825"/>
    </row>
    <row r="662" spans="2:13" ht="15.95" customHeight="1">
      <c r="B662" s="78">
        <v>3</v>
      </c>
      <c r="C662" s="249" t="s">
        <v>174</v>
      </c>
      <c r="D662" s="249"/>
      <c r="E662" s="249" t="s">
        <v>936</v>
      </c>
      <c r="F662" s="249"/>
    </row>
    <row r="663" spans="2:13" ht="15.95" customHeight="1">
      <c r="B663" s="78">
        <v>4</v>
      </c>
      <c r="C663" s="249" t="s">
        <v>183</v>
      </c>
      <c r="D663" s="249"/>
      <c r="E663" s="688" t="s">
        <v>995</v>
      </c>
      <c r="F663" s="250"/>
    </row>
    <row r="664" spans="2:13" ht="15.95" customHeight="1">
      <c r="B664" s="78">
        <v>5</v>
      </c>
      <c r="C664" s="249" t="s">
        <v>184</v>
      </c>
      <c r="D664" s="249"/>
      <c r="E664" s="249" t="s">
        <v>236</v>
      </c>
      <c r="F664" s="251">
        <f>F665</f>
        <v>150000000</v>
      </c>
    </row>
    <row r="665" spans="2:13" ht="15.75" customHeight="1">
      <c r="B665" s="78">
        <v>6</v>
      </c>
      <c r="C665" s="249" t="s">
        <v>234</v>
      </c>
      <c r="D665" s="249"/>
      <c r="E665" s="249" t="s">
        <v>236</v>
      </c>
      <c r="F665" s="251">
        <f>J671</f>
        <v>150000000</v>
      </c>
    </row>
    <row r="666" spans="2:13" ht="15" customHeight="1">
      <c r="B666" s="78">
        <v>7</v>
      </c>
      <c r="C666" s="249" t="s">
        <v>194</v>
      </c>
      <c r="D666" s="249"/>
      <c r="E666" s="249"/>
      <c r="F666" s="249"/>
      <c r="G666" s="194"/>
    </row>
    <row r="667" spans="2:13" ht="24.75" customHeight="1">
      <c r="B667" s="77"/>
      <c r="C667" s="827" t="s">
        <v>56</v>
      </c>
      <c r="D667" s="828" t="s">
        <v>0</v>
      </c>
      <c r="E667" s="829"/>
      <c r="F667" s="830"/>
      <c r="G667" s="829" t="s">
        <v>57</v>
      </c>
      <c r="H667" s="829"/>
      <c r="I667" s="83" t="s">
        <v>58</v>
      </c>
      <c r="J667" s="83" t="s">
        <v>59</v>
      </c>
    </row>
    <row r="668" spans="2:13" ht="26.25" customHeight="1">
      <c r="B668" s="77"/>
      <c r="C668" s="827"/>
      <c r="D668" s="831"/>
      <c r="E668" s="832"/>
      <c r="F668" s="833"/>
      <c r="G668" s="832"/>
      <c r="H668" s="832"/>
      <c r="I668" s="84" t="s">
        <v>52</v>
      </c>
      <c r="J668" s="84" t="s">
        <v>247</v>
      </c>
    </row>
    <row r="669" spans="2:13" ht="15.95" customHeight="1">
      <c r="B669" s="77"/>
      <c r="C669" s="526">
        <v>1</v>
      </c>
      <c r="D669" s="814">
        <v>2</v>
      </c>
      <c r="E669" s="815"/>
      <c r="F669" s="816"/>
      <c r="G669" s="815">
        <v>3</v>
      </c>
      <c r="H669" s="815"/>
      <c r="I669" s="85">
        <v>4</v>
      </c>
      <c r="J669" s="85">
        <v>4</v>
      </c>
      <c r="L669" s="82">
        <v>59679160</v>
      </c>
    </row>
    <row r="670" spans="2:13" ht="28.5" customHeight="1">
      <c r="B670" s="77"/>
      <c r="C670" s="86" t="s">
        <v>412</v>
      </c>
      <c r="D670" s="817" t="s">
        <v>140</v>
      </c>
      <c r="E670" s="818"/>
      <c r="F670" s="819"/>
      <c r="G670" s="527"/>
      <c r="H670" s="527"/>
      <c r="I670" s="268"/>
      <c r="J670" s="268"/>
      <c r="L670" s="82">
        <f>SUM(J669-L669)</f>
        <v>-59679156</v>
      </c>
      <c r="M670" s="82">
        <f>L670/13000</f>
        <v>-4590.7043076923073</v>
      </c>
    </row>
    <row r="671" spans="2:13" ht="25.5" customHeight="1">
      <c r="B671" s="77"/>
      <c r="C671" s="200" t="s">
        <v>6</v>
      </c>
      <c r="D671" s="820" t="s">
        <v>616</v>
      </c>
      <c r="E671" s="820"/>
      <c r="F671" s="820"/>
      <c r="G671" s="821" t="s">
        <v>853</v>
      </c>
      <c r="H671" s="821"/>
      <c r="I671" s="87"/>
      <c r="J671" s="264">
        <f>SUM(J672+J683)</f>
        <v>150000000</v>
      </c>
    </row>
    <row r="672" spans="2:13" ht="15.95" customHeight="1">
      <c r="B672" s="77"/>
      <c r="C672" s="88">
        <v>2</v>
      </c>
      <c r="D672" s="820" t="s">
        <v>34</v>
      </c>
      <c r="E672" s="820"/>
      <c r="F672" s="820"/>
      <c r="G672" s="687" t="s">
        <v>630</v>
      </c>
      <c r="H672" s="687" t="s">
        <v>631</v>
      </c>
      <c r="I672" s="89"/>
      <c r="J672" s="99">
        <f>SUM(J673:J682)</f>
        <v>7500000</v>
      </c>
      <c r="L672" s="82">
        <f>J669*7.5%</f>
        <v>0.3</v>
      </c>
    </row>
    <row r="673" spans="2:16" ht="15.95" customHeight="1">
      <c r="B673" s="77"/>
      <c r="C673" s="91"/>
      <c r="D673" s="822" t="s">
        <v>214</v>
      </c>
      <c r="E673" s="822"/>
      <c r="F673" s="822"/>
      <c r="G673" s="687">
        <v>1</v>
      </c>
      <c r="H673" s="687" t="s">
        <v>233</v>
      </c>
      <c r="I673" s="92">
        <v>500000</v>
      </c>
      <c r="J673" s="92">
        <f>G673*I673</f>
        <v>500000</v>
      </c>
    </row>
    <row r="674" spans="2:16" ht="15.95" customHeight="1">
      <c r="B674" s="77"/>
      <c r="C674" s="91"/>
      <c r="D674" s="922" t="s">
        <v>487</v>
      </c>
      <c r="E674" s="923"/>
      <c r="F674" s="924"/>
      <c r="G674" s="687">
        <v>1</v>
      </c>
      <c r="H674" s="687" t="s">
        <v>233</v>
      </c>
      <c r="I674" s="92">
        <v>800000</v>
      </c>
      <c r="J674" s="92">
        <f>G674*I674</f>
        <v>800000</v>
      </c>
      <c r="K674" s="82">
        <f>J671*7.5%</f>
        <v>11250000</v>
      </c>
    </row>
    <row r="675" spans="2:16" ht="15.95" customHeight="1">
      <c r="B675" s="77"/>
      <c r="C675" s="91"/>
      <c r="D675" s="823" t="s">
        <v>41</v>
      </c>
      <c r="E675" s="823"/>
      <c r="F675" s="823"/>
      <c r="G675" s="937"/>
      <c r="H675" s="937"/>
      <c r="I675" s="92">
        <v>1400000</v>
      </c>
      <c r="J675" s="92"/>
    </row>
    <row r="676" spans="2:16" ht="15.95" customHeight="1">
      <c r="B676" s="77"/>
      <c r="C676" s="91"/>
      <c r="D676" s="835" t="s">
        <v>207</v>
      </c>
      <c r="E676" s="835"/>
      <c r="F676" s="835"/>
      <c r="G676" s="687">
        <v>1</v>
      </c>
      <c r="H676" s="687" t="s">
        <v>64</v>
      </c>
      <c r="I676" s="92">
        <f>I675*25%</f>
        <v>350000</v>
      </c>
      <c r="J676" s="92">
        <f>G676*I676</f>
        <v>350000</v>
      </c>
    </row>
    <row r="677" spans="2:16" ht="15.95" customHeight="1">
      <c r="B677" s="77"/>
      <c r="C677" s="91"/>
      <c r="D677" s="835" t="s">
        <v>695</v>
      </c>
      <c r="E677" s="835"/>
      <c r="F677" s="835"/>
      <c r="G677" s="687">
        <v>1</v>
      </c>
      <c r="H677" s="687" t="s">
        <v>64</v>
      </c>
      <c r="I677" s="92">
        <f>I675*15%</f>
        <v>210000</v>
      </c>
      <c r="J677" s="92">
        <f t="shared" ref="J677:J682" si="69">G677*I677</f>
        <v>210000</v>
      </c>
    </row>
    <row r="678" spans="2:16" ht="15.95" customHeight="1">
      <c r="B678" s="77"/>
      <c r="C678" s="91"/>
      <c r="D678" s="835" t="s">
        <v>70</v>
      </c>
      <c r="E678" s="835"/>
      <c r="F678" s="835"/>
      <c r="G678" s="687">
        <v>6</v>
      </c>
      <c r="H678" s="687" t="s">
        <v>64</v>
      </c>
      <c r="I678" s="92">
        <f>I675*60%/6</f>
        <v>140000</v>
      </c>
      <c r="J678" s="92">
        <f t="shared" si="69"/>
        <v>840000</v>
      </c>
    </row>
    <row r="679" spans="2:16" ht="15.95" customHeight="1">
      <c r="B679" s="77"/>
      <c r="C679" s="91"/>
      <c r="D679" s="836" t="s">
        <v>215</v>
      </c>
      <c r="E679" s="836"/>
      <c r="F679" s="836"/>
      <c r="G679" s="687">
        <v>1</v>
      </c>
      <c r="H679" s="687" t="s">
        <v>217</v>
      </c>
      <c r="I679" s="92">
        <v>150000</v>
      </c>
      <c r="J679" s="92">
        <f t="shared" si="69"/>
        <v>150000</v>
      </c>
    </row>
    <row r="680" spans="2:16" ht="15.95" customHeight="1">
      <c r="B680" s="77"/>
      <c r="C680" s="91"/>
      <c r="D680" s="836" t="s">
        <v>216</v>
      </c>
      <c r="E680" s="836"/>
      <c r="F680" s="836"/>
      <c r="G680" s="687">
        <v>1</v>
      </c>
      <c r="H680" s="687" t="s">
        <v>217</v>
      </c>
      <c r="I680" s="92">
        <v>50000</v>
      </c>
      <c r="J680" s="92">
        <f t="shared" si="69"/>
        <v>50000</v>
      </c>
    </row>
    <row r="681" spans="2:16" ht="15.95" customHeight="1">
      <c r="B681" s="77"/>
      <c r="C681" s="91"/>
      <c r="D681" s="836" t="s">
        <v>628</v>
      </c>
      <c r="E681" s="836"/>
      <c r="F681" s="836"/>
      <c r="G681" s="687">
        <v>30</v>
      </c>
      <c r="H681" s="687" t="s">
        <v>644</v>
      </c>
      <c r="I681" s="92">
        <v>60000</v>
      </c>
      <c r="J681" s="92">
        <f t="shared" si="69"/>
        <v>1800000</v>
      </c>
      <c r="L681" s="82">
        <f>10*4*2</f>
        <v>80</v>
      </c>
      <c r="M681" s="82">
        <v>72</v>
      </c>
      <c r="N681" s="82">
        <f>SUM(L681*M681)</f>
        <v>5760</v>
      </c>
    </row>
    <row r="682" spans="2:16" ht="15.95" customHeight="1">
      <c r="B682" s="77"/>
      <c r="C682" s="94"/>
      <c r="D682" s="836" t="s">
        <v>642</v>
      </c>
      <c r="E682" s="836"/>
      <c r="F682" s="836"/>
      <c r="G682" s="687">
        <v>40</v>
      </c>
      <c r="H682" s="687" t="s">
        <v>644</v>
      </c>
      <c r="I682" s="95">
        <v>70000</v>
      </c>
      <c r="J682" s="92">
        <f t="shared" si="69"/>
        <v>2800000</v>
      </c>
    </row>
    <row r="683" spans="2:16" ht="15.95" customHeight="1">
      <c r="B683" s="77"/>
      <c r="C683" s="96">
        <v>3</v>
      </c>
      <c r="D683" s="813" t="s">
        <v>32</v>
      </c>
      <c r="E683" s="813"/>
      <c r="F683" s="813"/>
      <c r="G683" s="686"/>
      <c r="H683" s="686"/>
      <c r="I683" s="97"/>
      <c r="J683" s="98">
        <f>SUM(J684:J698)</f>
        <v>142500000</v>
      </c>
      <c r="L683" s="82">
        <f>28*0.3*0.7</f>
        <v>5.88</v>
      </c>
      <c r="M683" s="82">
        <v>4.4999999999999998E-2</v>
      </c>
      <c r="N683" s="82">
        <f>SUM(L683*M683)</f>
        <v>0.2646</v>
      </c>
      <c r="O683" s="81">
        <v>3</v>
      </c>
      <c r="P683" s="81">
        <f>SUM(N683*O683)</f>
        <v>0.79380000000000006</v>
      </c>
    </row>
    <row r="684" spans="2:16" ht="15.95" customHeight="1">
      <c r="B684" s="77"/>
      <c r="C684" s="94"/>
      <c r="D684" s="834" t="s">
        <v>700</v>
      </c>
      <c r="E684" s="835"/>
      <c r="F684" s="835"/>
      <c r="G684" s="687">
        <v>73</v>
      </c>
      <c r="H684" s="687" t="s">
        <v>241</v>
      </c>
      <c r="I684" s="97">
        <v>220000</v>
      </c>
      <c r="J684" s="97">
        <f>G684*I684</f>
        <v>16060000</v>
      </c>
    </row>
    <row r="685" spans="2:16" ht="15.95" customHeight="1">
      <c r="B685" s="77"/>
      <c r="C685" s="94"/>
      <c r="D685" s="834" t="s">
        <v>703</v>
      </c>
      <c r="E685" s="835"/>
      <c r="F685" s="835"/>
      <c r="G685" s="94">
        <v>19750</v>
      </c>
      <c r="H685" s="94" t="s">
        <v>102</v>
      </c>
      <c r="I685" s="97">
        <v>800</v>
      </c>
      <c r="J685" s="97">
        <f t="shared" ref="J685:J698" si="70">G685*I685</f>
        <v>15800000</v>
      </c>
      <c r="M685" s="82">
        <v>9.68</v>
      </c>
      <c r="N685" s="82">
        <f>SUM(L683*M685)</f>
        <v>56.918399999999998</v>
      </c>
      <c r="O685" s="81">
        <v>50</v>
      </c>
      <c r="P685" s="81">
        <f>SUM(N685/O685)</f>
        <v>1.138368</v>
      </c>
    </row>
    <row r="686" spans="2:16" ht="15.95" customHeight="1">
      <c r="B686" s="77"/>
      <c r="C686" s="94"/>
      <c r="D686" s="834" t="s">
        <v>702</v>
      </c>
      <c r="E686" s="835"/>
      <c r="F686" s="835"/>
      <c r="G686" s="687">
        <v>30</v>
      </c>
      <c r="H686" s="687" t="s">
        <v>241</v>
      </c>
      <c r="I686" s="97">
        <v>232000</v>
      </c>
      <c r="J686" s="97">
        <f t="shared" si="70"/>
        <v>6960000</v>
      </c>
    </row>
    <row r="687" spans="2:16" ht="15.95" customHeight="1">
      <c r="B687" s="77"/>
      <c r="C687" s="94"/>
      <c r="D687" s="834" t="s">
        <v>701</v>
      </c>
      <c r="E687" s="835"/>
      <c r="F687" s="835"/>
      <c r="G687" s="687">
        <v>13</v>
      </c>
      <c r="H687" s="687" t="s">
        <v>241</v>
      </c>
      <c r="I687" s="97">
        <v>350000</v>
      </c>
      <c r="J687" s="97">
        <f t="shared" si="70"/>
        <v>4550000</v>
      </c>
    </row>
    <row r="688" spans="2:16" ht="15.95" customHeight="1">
      <c r="B688" s="77"/>
      <c r="C688" s="94"/>
      <c r="D688" s="834" t="s">
        <v>758</v>
      </c>
      <c r="E688" s="835"/>
      <c r="F688" s="835"/>
      <c r="G688" s="687">
        <v>561</v>
      </c>
      <c r="H688" s="687" t="s">
        <v>288</v>
      </c>
      <c r="I688" s="97">
        <v>75000</v>
      </c>
      <c r="J688" s="97">
        <f t="shared" si="70"/>
        <v>42075000</v>
      </c>
    </row>
    <row r="689" spans="2:10" ht="15.95" customHeight="1">
      <c r="B689" s="77"/>
      <c r="C689" s="94"/>
      <c r="D689" s="902" t="s">
        <v>708</v>
      </c>
      <c r="E689" s="900"/>
      <c r="F689" s="901"/>
      <c r="G689" s="252">
        <v>22</v>
      </c>
      <c r="H689" s="687" t="s">
        <v>241</v>
      </c>
      <c r="I689" s="97">
        <v>250000</v>
      </c>
      <c r="J689" s="97">
        <f t="shared" si="70"/>
        <v>5500000</v>
      </c>
    </row>
    <row r="690" spans="2:10" ht="15.95" customHeight="1">
      <c r="B690" s="77"/>
      <c r="C690" s="94"/>
      <c r="D690" s="902" t="s">
        <v>836</v>
      </c>
      <c r="E690" s="900"/>
      <c r="F690" s="901"/>
      <c r="G690" s="687">
        <v>480</v>
      </c>
      <c r="H690" s="687" t="s">
        <v>102</v>
      </c>
      <c r="I690" s="97">
        <v>44000</v>
      </c>
      <c r="J690" s="97">
        <f t="shared" si="70"/>
        <v>21120000</v>
      </c>
    </row>
    <row r="691" spans="2:10" ht="18" customHeight="1">
      <c r="B691" s="77"/>
      <c r="C691" s="94"/>
      <c r="D691" s="902" t="s">
        <v>837</v>
      </c>
      <c r="E691" s="900"/>
      <c r="F691" s="901"/>
      <c r="G691" s="687">
        <v>31</v>
      </c>
      <c r="H691" s="687" t="s">
        <v>486</v>
      </c>
      <c r="I691" s="97">
        <v>871000</v>
      </c>
      <c r="J691" s="97">
        <f t="shared" si="70"/>
        <v>27001000</v>
      </c>
    </row>
    <row r="692" spans="2:10" ht="18" customHeight="1">
      <c r="B692" s="77"/>
      <c r="C692" s="94"/>
      <c r="D692" s="902" t="s">
        <v>713</v>
      </c>
      <c r="E692" s="900"/>
      <c r="F692" s="901"/>
      <c r="G692" s="687">
        <v>30</v>
      </c>
      <c r="H692" s="687" t="s">
        <v>297</v>
      </c>
      <c r="I692" s="97">
        <v>60000</v>
      </c>
      <c r="J692" s="97">
        <f t="shared" si="70"/>
        <v>1800000</v>
      </c>
    </row>
    <row r="693" spans="2:10" ht="18" customHeight="1">
      <c r="B693" s="77"/>
      <c r="C693" s="94"/>
      <c r="D693" s="902" t="s">
        <v>806</v>
      </c>
      <c r="E693" s="900"/>
      <c r="F693" s="901"/>
      <c r="G693" s="687">
        <v>12</v>
      </c>
      <c r="H693" s="687" t="s">
        <v>251</v>
      </c>
      <c r="I693" s="97">
        <v>25000</v>
      </c>
      <c r="J693" s="97">
        <f t="shared" si="70"/>
        <v>300000</v>
      </c>
    </row>
    <row r="694" spans="2:10" ht="18" customHeight="1">
      <c r="B694" s="77"/>
      <c r="C694" s="94"/>
      <c r="D694" s="902" t="s">
        <v>852</v>
      </c>
      <c r="E694" s="915"/>
      <c r="F694" s="916"/>
      <c r="G694" s="687">
        <v>1</v>
      </c>
      <c r="H694" s="687" t="s">
        <v>102</v>
      </c>
      <c r="I694" s="97">
        <v>3200</v>
      </c>
      <c r="J694" s="97">
        <f t="shared" si="70"/>
        <v>3200</v>
      </c>
    </row>
    <row r="695" spans="2:10" ht="18" customHeight="1">
      <c r="B695" s="77"/>
      <c r="C695" s="94"/>
      <c r="D695" s="902" t="s">
        <v>750</v>
      </c>
      <c r="E695" s="915"/>
      <c r="F695" s="916"/>
      <c r="G695" s="687">
        <v>5</v>
      </c>
      <c r="H695" s="687" t="s">
        <v>217</v>
      </c>
      <c r="I695" s="97">
        <v>25000</v>
      </c>
      <c r="J695" s="97">
        <f t="shared" si="70"/>
        <v>125000</v>
      </c>
    </row>
    <row r="696" spans="2:10" ht="18" customHeight="1">
      <c r="B696" s="77"/>
      <c r="C696" s="94"/>
      <c r="D696" s="902" t="s">
        <v>720</v>
      </c>
      <c r="E696" s="915"/>
      <c r="F696" s="916"/>
      <c r="G696" s="687">
        <v>2</v>
      </c>
      <c r="H696" s="687" t="s">
        <v>217</v>
      </c>
      <c r="I696" s="97">
        <v>75000</v>
      </c>
      <c r="J696" s="97">
        <f t="shared" si="70"/>
        <v>150000</v>
      </c>
    </row>
    <row r="697" spans="2:10" ht="16.5" customHeight="1">
      <c r="B697" s="77"/>
      <c r="C697" s="94"/>
      <c r="D697" s="902" t="s">
        <v>715</v>
      </c>
      <c r="E697" s="915"/>
      <c r="F697" s="916"/>
      <c r="G697" s="687">
        <v>33</v>
      </c>
      <c r="H697" s="687" t="s">
        <v>699</v>
      </c>
      <c r="I697" s="97">
        <v>27600</v>
      </c>
      <c r="J697" s="97">
        <f t="shared" si="70"/>
        <v>910800</v>
      </c>
    </row>
    <row r="698" spans="2:10" ht="16.5" customHeight="1">
      <c r="B698"/>
      <c r="C698" s="94"/>
      <c r="D698" s="902" t="s">
        <v>719</v>
      </c>
      <c r="E698" s="900"/>
      <c r="F698" s="901"/>
      <c r="G698" s="687">
        <v>10</v>
      </c>
      <c r="H698" s="687" t="s">
        <v>102</v>
      </c>
      <c r="I698" s="95">
        <v>14500</v>
      </c>
      <c r="J698" s="97">
        <f t="shared" si="70"/>
        <v>145000</v>
      </c>
    </row>
    <row r="699" spans="2:10" ht="16.5" customHeight="1">
      <c r="B699"/>
      <c r="C699" s="101"/>
      <c r="D699" s="811" t="s">
        <v>221</v>
      </c>
      <c r="E699" s="811"/>
      <c r="F699" s="811"/>
      <c r="G699" s="812"/>
      <c r="H699" s="812"/>
      <c r="I699" s="102"/>
      <c r="J699" s="109">
        <f>J671</f>
        <v>150000000</v>
      </c>
    </row>
    <row r="700" spans="2:10" ht="16.5" customHeight="1">
      <c r="B700"/>
      <c r="C700"/>
      <c r="D700" s="684"/>
      <c r="E700" s="77"/>
      <c r="F700" s="77"/>
      <c r="G700" s="79"/>
      <c r="H700" s="810" t="s">
        <v>982</v>
      </c>
      <c r="I700" s="810"/>
      <c r="J700" s="810"/>
    </row>
    <row r="701" spans="2:10" ht="16.5" customHeight="1">
      <c r="B701"/>
      <c r="C701"/>
      <c r="D701" s="77"/>
      <c r="E701" s="78" t="s">
        <v>76</v>
      </c>
      <c r="F701" s="78"/>
      <c r="G701" s="79"/>
      <c r="H701" s="810" t="s">
        <v>77</v>
      </c>
      <c r="I701" s="810"/>
      <c r="J701" s="810"/>
    </row>
    <row r="702" spans="2:10" ht="16.5" customHeight="1">
      <c r="B702"/>
      <c r="C702"/>
      <c r="D702" s="77"/>
      <c r="E702" s="78" t="s">
        <v>78</v>
      </c>
      <c r="F702" s="684"/>
      <c r="G702" s="79"/>
      <c r="H702" s="79"/>
      <c r="I702" s="104"/>
      <c r="J702" s="104"/>
    </row>
    <row r="703" spans="2:10" ht="16.5" customHeight="1">
      <c r="B703"/>
      <c r="C703"/>
      <c r="D703" s="684"/>
      <c r="E703" s="684"/>
      <c r="F703" s="684"/>
      <c r="G703" s="79"/>
      <c r="H703" s="79"/>
      <c r="I703" s="80"/>
      <c r="J703" s="80"/>
    </row>
    <row r="704" spans="2:10" ht="16.5" customHeight="1">
      <c r="B704"/>
      <c r="C704"/>
      <c r="D704" s="684"/>
      <c r="E704" s="684"/>
      <c r="F704" s="684"/>
      <c r="G704" s="79"/>
      <c r="H704" s="79"/>
      <c r="I704" s="80"/>
      <c r="J704" s="80"/>
    </row>
    <row r="705" spans="2:10" ht="16.5" customHeight="1">
      <c r="B705"/>
      <c r="C705"/>
      <c r="D705" s="684"/>
      <c r="E705" s="684"/>
      <c r="F705" s="684"/>
      <c r="G705" s="79"/>
      <c r="H705" s="79"/>
      <c r="I705" s="80"/>
      <c r="J705" s="80"/>
    </row>
    <row r="706" spans="2:10" ht="16.5" customHeight="1">
      <c r="B706"/>
      <c r="C706"/>
      <c r="D706" s="684"/>
      <c r="E706" s="78" t="s">
        <v>51</v>
      </c>
      <c r="F706" s="78"/>
      <c r="G706" s="79"/>
      <c r="H706" s="810" t="s">
        <v>225</v>
      </c>
      <c r="I706" s="810"/>
      <c r="J706" s="810"/>
    </row>
    <row r="707" spans="2:10" ht="16.5" customHeight="1">
      <c r="B707"/>
      <c r="C707"/>
      <c r="D707"/>
      <c r="E707"/>
      <c r="F707"/>
      <c r="G707"/>
      <c r="H707"/>
      <c r="I707"/>
      <c r="J707"/>
    </row>
    <row r="708" spans="2:10" ht="16.5" customHeight="1">
      <c r="B708" s="824" t="s">
        <v>54</v>
      </c>
      <c r="C708" s="824"/>
      <c r="D708" s="824"/>
      <c r="E708" s="824"/>
      <c r="F708" s="824"/>
      <c r="G708" s="824"/>
      <c r="H708" s="824"/>
      <c r="I708" s="824"/>
      <c r="J708" s="824"/>
    </row>
    <row r="709" spans="2:10" ht="16.5" customHeight="1">
      <c r="B709" s="824" t="s">
        <v>55</v>
      </c>
      <c r="C709" s="824"/>
      <c r="D709" s="824"/>
      <c r="E709" s="824"/>
      <c r="F709" s="824"/>
      <c r="G709" s="824"/>
      <c r="H709" s="824"/>
      <c r="I709" s="824"/>
      <c r="J709" s="824"/>
    </row>
    <row r="710" spans="2:10" ht="15.95" customHeight="1">
      <c r="B710" s="824" t="s">
        <v>914</v>
      </c>
      <c r="C710" s="824"/>
      <c r="D710" s="824"/>
      <c r="E710" s="824"/>
      <c r="F710" s="824"/>
      <c r="G710" s="824"/>
      <c r="H710" s="824"/>
      <c r="I710" s="824"/>
      <c r="J710" s="824"/>
    </row>
    <row r="711" spans="2:10" ht="16.5" customHeight="1">
      <c r="B711" s="77"/>
      <c r="C711" s="78"/>
      <c r="D711" s="78"/>
      <c r="E711" s="77"/>
      <c r="F711" s="77"/>
      <c r="G711" s="79"/>
      <c r="H711" s="79"/>
      <c r="I711" s="80"/>
      <c r="J711" s="80"/>
    </row>
    <row r="712" spans="2:10" ht="16.5" customHeight="1">
      <c r="B712" s="78">
        <v>1</v>
      </c>
      <c r="C712" s="249" t="s">
        <v>172</v>
      </c>
      <c r="D712" s="249"/>
      <c r="E712" s="249" t="s">
        <v>474</v>
      </c>
      <c r="F712" s="249"/>
    </row>
    <row r="713" spans="2:10" ht="16.5" customHeight="1">
      <c r="B713" s="78">
        <v>2</v>
      </c>
      <c r="C713" s="249" t="s">
        <v>173</v>
      </c>
      <c r="D713" s="249"/>
      <c r="E713" s="919" t="s">
        <v>916</v>
      </c>
      <c r="F713" s="919"/>
      <c r="G713" s="919"/>
      <c r="H713" s="919"/>
      <c r="I713" s="919"/>
    </row>
    <row r="714" spans="2:10" ht="18" customHeight="1">
      <c r="B714" s="78">
        <v>3</v>
      </c>
      <c r="C714" s="249" t="s">
        <v>174</v>
      </c>
      <c r="D714" s="249"/>
      <c r="E714" s="249" t="s">
        <v>924</v>
      </c>
      <c r="F714" s="249"/>
    </row>
    <row r="715" spans="2:10" ht="18" customHeight="1">
      <c r="B715" s="78">
        <v>4</v>
      </c>
      <c r="C715" s="249" t="s">
        <v>183</v>
      </c>
      <c r="D715" s="249"/>
      <c r="E715" s="249" t="s">
        <v>213</v>
      </c>
      <c r="F715" s="250"/>
    </row>
    <row r="716" spans="2:10" ht="18" customHeight="1">
      <c r="B716" s="78">
        <v>5</v>
      </c>
      <c r="C716" s="249" t="s">
        <v>184</v>
      </c>
      <c r="D716" s="249"/>
      <c r="E716" s="249" t="s">
        <v>236</v>
      </c>
      <c r="F716" s="251">
        <f>J723</f>
        <v>15826000</v>
      </c>
    </row>
    <row r="717" spans="2:10" ht="18" customHeight="1">
      <c r="B717" s="78">
        <v>6</v>
      </c>
      <c r="C717" s="249" t="s">
        <v>234</v>
      </c>
      <c r="D717" s="249"/>
      <c r="E717" s="249" t="s">
        <v>236</v>
      </c>
      <c r="F717" s="251">
        <f>J723</f>
        <v>15826000</v>
      </c>
    </row>
    <row r="718" spans="2:10" ht="18.75" customHeight="1">
      <c r="B718" s="78">
        <v>7</v>
      </c>
      <c r="C718" s="249" t="s">
        <v>194</v>
      </c>
      <c r="D718" s="249"/>
      <c r="E718" s="249"/>
      <c r="F718" s="249"/>
      <c r="G718" s="194"/>
    </row>
    <row r="719" spans="2:10" ht="25.5" customHeight="1">
      <c r="B719"/>
      <c r="C719" s="920" t="s">
        <v>56</v>
      </c>
      <c r="D719" s="528" t="s">
        <v>0</v>
      </c>
      <c r="E719" s="523"/>
      <c r="F719" s="529"/>
      <c r="G719" s="828" t="s">
        <v>57</v>
      </c>
      <c r="H719" s="830"/>
      <c r="I719" s="83" t="s">
        <v>58</v>
      </c>
      <c r="J719" s="83" t="s">
        <v>59</v>
      </c>
    </row>
    <row r="720" spans="2:10" ht="18" customHeight="1">
      <c r="B720"/>
      <c r="C720" s="921"/>
      <c r="D720" s="530"/>
      <c r="E720" s="524"/>
      <c r="F720" s="531"/>
      <c r="G720" s="831"/>
      <c r="H720" s="833"/>
      <c r="I720" s="84" t="s">
        <v>52</v>
      </c>
      <c r="J720" s="84" t="s">
        <v>247</v>
      </c>
    </row>
    <row r="721" spans="2:13" ht="13.5" customHeight="1">
      <c r="B721"/>
      <c r="C721" s="526">
        <v>1</v>
      </c>
      <c r="D721" s="814">
        <v>2</v>
      </c>
      <c r="E721" s="815"/>
      <c r="F721" s="816"/>
      <c r="G721" s="938">
        <v>3</v>
      </c>
      <c r="H721" s="938"/>
      <c r="I721" s="85">
        <v>4</v>
      </c>
      <c r="J721" s="85">
        <v>5</v>
      </c>
    </row>
    <row r="722" spans="2:13" ht="13.5" customHeight="1">
      <c r="B722"/>
      <c r="C722" s="388" t="s">
        <v>849</v>
      </c>
      <c r="D722" s="817" t="s">
        <v>996</v>
      </c>
      <c r="E722" s="818"/>
      <c r="F722" s="819"/>
      <c r="G722" s="389"/>
      <c r="H722" s="759"/>
      <c r="I722" s="268"/>
      <c r="J722" s="268"/>
    </row>
    <row r="723" spans="2:13" ht="26.25" customHeight="1">
      <c r="B723"/>
      <c r="C723" s="86" t="s">
        <v>6</v>
      </c>
      <c r="D723" s="939" t="s">
        <v>850</v>
      </c>
      <c r="E723" s="940"/>
      <c r="F723" s="941"/>
      <c r="G723" s="933"/>
      <c r="H723" s="934"/>
      <c r="I723" s="87"/>
      <c r="J723" s="264">
        <f>J724+J732</f>
        <v>15826000</v>
      </c>
      <c r="L723" s="82">
        <v>7362600</v>
      </c>
    </row>
    <row r="724" spans="2:13" ht="18.75" customHeight="1">
      <c r="B724"/>
      <c r="C724" s="88">
        <v>2</v>
      </c>
      <c r="D724" s="939" t="s">
        <v>34</v>
      </c>
      <c r="E724" s="940"/>
      <c r="F724" s="941"/>
      <c r="G724" s="532" t="s">
        <v>630</v>
      </c>
      <c r="H724" s="532" t="s">
        <v>631</v>
      </c>
      <c r="I724" s="89"/>
      <c r="J724" s="99">
        <f>SUM(J725:J731)</f>
        <v>1854000</v>
      </c>
      <c r="L724" s="82">
        <f>SUM(J723-L723)</f>
        <v>8463400</v>
      </c>
      <c r="M724" s="82">
        <f>L724/13000</f>
        <v>651.03076923076924</v>
      </c>
    </row>
    <row r="725" spans="2:13" ht="18" customHeight="1">
      <c r="B725"/>
      <c r="C725" s="91"/>
      <c r="D725" s="922" t="s">
        <v>214</v>
      </c>
      <c r="E725" s="923"/>
      <c r="F725" s="924"/>
      <c r="G725" s="532">
        <v>1</v>
      </c>
      <c r="H725" s="532" t="s">
        <v>403</v>
      </c>
      <c r="I725" s="92">
        <v>500000</v>
      </c>
      <c r="J725" s="92">
        <f>SUM(G725*I725)</f>
        <v>500000</v>
      </c>
    </row>
    <row r="726" spans="2:13" ht="18" customHeight="1">
      <c r="B726"/>
      <c r="C726" s="91"/>
      <c r="D726" s="925" t="s">
        <v>41</v>
      </c>
      <c r="E726" s="926"/>
      <c r="F726" s="927"/>
      <c r="G726" s="935">
        <v>1104000</v>
      </c>
      <c r="H726" s="936"/>
      <c r="I726" s="92"/>
      <c r="J726" s="92">
        <f t="shared" ref="J726:J731" si="71">SUM(G726*I726)</f>
        <v>0</v>
      </c>
      <c r="K726" s="82">
        <f>J723*7.5%</f>
        <v>1186950</v>
      </c>
    </row>
    <row r="727" spans="2:13" ht="18" customHeight="1">
      <c r="B727"/>
      <c r="C727" s="91"/>
      <c r="D727" s="899" t="s">
        <v>207</v>
      </c>
      <c r="E727" s="900"/>
      <c r="F727" s="901"/>
      <c r="G727" s="532">
        <v>1</v>
      </c>
      <c r="H727" s="532" t="s">
        <v>64</v>
      </c>
      <c r="I727" s="92">
        <f>G726*25%</f>
        <v>276000</v>
      </c>
      <c r="J727" s="92">
        <f t="shared" si="71"/>
        <v>276000</v>
      </c>
    </row>
    <row r="728" spans="2:13" ht="18" customHeight="1">
      <c r="B728"/>
      <c r="C728" s="91"/>
      <c r="D728" s="899" t="s">
        <v>696</v>
      </c>
      <c r="E728" s="900"/>
      <c r="F728" s="901"/>
      <c r="G728" s="532">
        <v>1</v>
      </c>
      <c r="H728" s="532" t="s">
        <v>64</v>
      </c>
      <c r="I728" s="92">
        <f>G726*15%</f>
        <v>165600</v>
      </c>
      <c r="J728" s="92">
        <f t="shared" si="71"/>
        <v>165600</v>
      </c>
    </row>
    <row r="729" spans="2:13" ht="18" customHeight="1">
      <c r="B729"/>
      <c r="C729" s="91"/>
      <c r="D729" s="899" t="s">
        <v>70</v>
      </c>
      <c r="E729" s="900"/>
      <c r="F729" s="901"/>
      <c r="G729" s="532">
        <v>6</v>
      </c>
      <c r="H729" s="532" t="s">
        <v>64</v>
      </c>
      <c r="I729" s="92">
        <f>G726*60%/G729</f>
        <v>110400</v>
      </c>
      <c r="J729" s="92">
        <f t="shared" si="71"/>
        <v>662400</v>
      </c>
    </row>
    <row r="730" spans="2:13" ht="18" customHeight="1">
      <c r="B730"/>
      <c r="C730" s="91"/>
      <c r="D730" s="837" t="s">
        <v>215</v>
      </c>
      <c r="E730" s="838"/>
      <c r="F730" s="839"/>
      <c r="G730" s="532">
        <v>1</v>
      </c>
      <c r="H730" s="532" t="s">
        <v>217</v>
      </c>
      <c r="I730" s="92">
        <v>150000</v>
      </c>
      <c r="J730" s="92">
        <f t="shared" si="71"/>
        <v>150000</v>
      </c>
    </row>
    <row r="731" spans="2:13" ht="18" customHeight="1">
      <c r="B731"/>
      <c r="C731" s="91"/>
      <c r="D731" s="837" t="s">
        <v>216</v>
      </c>
      <c r="E731" s="838"/>
      <c r="F731" s="839"/>
      <c r="G731" s="532">
        <v>1</v>
      </c>
      <c r="H731" s="532" t="s">
        <v>217</v>
      </c>
      <c r="I731" s="92">
        <v>100000</v>
      </c>
      <c r="J731" s="92">
        <f t="shared" si="71"/>
        <v>100000</v>
      </c>
    </row>
    <row r="732" spans="2:13" ht="18" customHeight="1">
      <c r="B732"/>
      <c r="C732" s="96">
        <v>3</v>
      </c>
      <c r="D732" s="917" t="s">
        <v>32</v>
      </c>
      <c r="E732" s="928"/>
      <c r="F732" s="929"/>
      <c r="G732" s="519"/>
      <c r="H732" s="519"/>
      <c r="I732" s="97"/>
      <c r="J732" s="98">
        <f>SUM(J733:J741)</f>
        <v>13972000</v>
      </c>
    </row>
    <row r="733" spans="2:13" ht="18" customHeight="1">
      <c r="B733"/>
      <c r="C733" s="96"/>
      <c r="D733" s="837" t="s">
        <v>628</v>
      </c>
      <c r="E733" s="838"/>
      <c r="F733" s="839"/>
      <c r="G733" s="789">
        <v>35.93</v>
      </c>
      <c r="H733" s="789" t="s">
        <v>644</v>
      </c>
      <c r="I733" s="92">
        <v>60000</v>
      </c>
      <c r="J733" s="92">
        <f t="shared" ref="J733:J736" si="72">SUM(G733*I733)</f>
        <v>2155800</v>
      </c>
    </row>
    <row r="734" spans="2:13" ht="18" customHeight="1">
      <c r="B734"/>
      <c r="C734" s="96"/>
      <c r="D734" s="837" t="s">
        <v>642</v>
      </c>
      <c r="E734" s="838"/>
      <c r="F734" s="839"/>
      <c r="G734" s="789">
        <v>20.78</v>
      </c>
      <c r="H734" s="789" t="s">
        <v>644</v>
      </c>
      <c r="I734" s="95">
        <v>70000</v>
      </c>
      <c r="J734" s="92">
        <f t="shared" si="72"/>
        <v>1454600</v>
      </c>
    </row>
    <row r="735" spans="2:13" ht="18" customHeight="1">
      <c r="B735"/>
      <c r="C735" s="96"/>
      <c r="D735" s="837" t="s">
        <v>819</v>
      </c>
      <c r="E735" s="838"/>
      <c r="F735" s="839"/>
      <c r="G735" s="789">
        <v>5</v>
      </c>
      <c r="H735" s="789" t="s">
        <v>699</v>
      </c>
      <c r="I735" s="95">
        <v>27600</v>
      </c>
      <c r="J735" s="92">
        <f t="shared" si="72"/>
        <v>138000</v>
      </c>
    </row>
    <row r="736" spans="2:13" ht="18" customHeight="1">
      <c r="B736"/>
      <c r="C736" s="96"/>
      <c r="D736" s="837" t="s">
        <v>719</v>
      </c>
      <c r="E736" s="838"/>
      <c r="F736" s="839"/>
      <c r="G736" s="789">
        <v>5</v>
      </c>
      <c r="H736" s="789" t="s">
        <v>217</v>
      </c>
      <c r="I736" s="95">
        <v>14500</v>
      </c>
      <c r="J736" s="92">
        <f t="shared" si="72"/>
        <v>72500</v>
      </c>
    </row>
    <row r="737" spans="2:17" ht="18" customHeight="1">
      <c r="B737"/>
      <c r="C737" s="94"/>
      <c r="D737" s="902" t="s">
        <v>702</v>
      </c>
      <c r="E737" s="900"/>
      <c r="F737" s="901"/>
      <c r="G737" s="532">
        <v>18</v>
      </c>
      <c r="H737" s="532" t="s">
        <v>241</v>
      </c>
      <c r="I737" s="97">
        <v>220000</v>
      </c>
      <c r="J737" s="97">
        <f>G737*I737</f>
        <v>3960000</v>
      </c>
      <c r="L737" s="82">
        <f>6*1.5*0.15</f>
        <v>1.3499999999999999</v>
      </c>
      <c r="M737" s="82">
        <v>3</v>
      </c>
      <c r="N737" s="82">
        <v>6</v>
      </c>
      <c r="O737" s="81">
        <f>SUM(L737*M737/N737)</f>
        <v>0.67499999999999993</v>
      </c>
    </row>
    <row r="738" spans="2:17" ht="18" customHeight="1">
      <c r="B738"/>
      <c r="C738" s="94"/>
      <c r="D738" s="902" t="s">
        <v>700</v>
      </c>
      <c r="E738" s="900"/>
      <c r="F738" s="901"/>
      <c r="G738" s="94">
        <v>10</v>
      </c>
      <c r="H738" s="94" t="s">
        <v>241</v>
      </c>
      <c r="I738" s="97">
        <v>220000</v>
      </c>
      <c r="J738" s="97">
        <f t="shared" ref="J738:J741" si="73">G738*I738</f>
        <v>2200000</v>
      </c>
      <c r="M738" s="82">
        <v>1</v>
      </c>
      <c r="N738" s="82">
        <v>6</v>
      </c>
      <c r="O738" s="81">
        <f>SUM(L737*M738/N738)</f>
        <v>0.22499999999999998</v>
      </c>
      <c r="P738" s="81">
        <v>42</v>
      </c>
      <c r="Q738" s="81">
        <f>SUM(O738*P738)</f>
        <v>9.4499999999999993</v>
      </c>
    </row>
    <row r="739" spans="2:17" ht="18" customHeight="1">
      <c r="B739"/>
      <c r="C739" s="94"/>
      <c r="D739" s="902" t="s">
        <v>758</v>
      </c>
      <c r="E739" s="900"/>
      <c r="F739" s="901"/>
      <c r="G739" s="532">
        <v>49</v>
      </c>
      <c r="H739" s="532" t="s">
        <v>242</v>
      </c>
      <c r="I739" s="97">
        <v>75000</v>
      </c>
      <c r="J739" s="97">
        <f t="shared" si="73"/>
        <v>3675000</v>
      </c>
    </row>
    <row r="740" spans="2:17" ht="18" customHeight="1">
      <c r="B740"/>
      <c r="C740" s="94"/>
      <c r="D740" s="902" t="s">
        <v>753</v>
      </c>
      <c r="E740" s="900"/>
      <c r="F740" s="901"/>
      <c r="G740" s="532">
        <v>10</v>
      </c>
      <c r="H740" s="532" t="s">
        <v>722</v>
      </c>
      <c r="I740" s="97">
        <v>30000</v>
      </c>
      <c r="J740" s="97">
        <f t="shared" si="73"/>
        <v>300000</v>
      </c>
    </row>
    <row r="741" spans="2:17" ht="18" customHeight="1">
      <c r="B741"/>
      <c r="C741" s="94"/>
      <c r="D741" s="902" t="s">
        <v>806</v>
      </c>
      <c r="E741" s="900"/>
      <c r="F741" s="901"/>
      <c r="G741" s="532">
        <v>1</v>
      </c>
      <c r="H741" s="532" t="s">
        <v>250</v>
      </c>
      <c r="I741" s="97">
        <v>16100</v>
      </c>
      <c r="J741" s="97">
        <f t="shared" si="73"/>
        <v>16100</v>
      </c>
      <c r="L741" s="82">
        <f>1.5/20</f>
        <v>7.4999999999999997E-2</v>
      </c>
      <c r="M741" s="82">
        <v>2</v>
      </c>
      <c r="N741" s="82">
        <f>SUM(L741*M741)</f>
        <v>0.15</v>
      </c>
    </row>
    <row r="742" spans="2:17" ht="18" customHeight="1">
      <c r="B742"/>
      <c r="C742" s="101"/>
      <c r="D742" s="930" t="s">
        <v>221</v>
      </c>
      <c r="E742" s="931"/>
      <c r="F742" s="932"/>
      <c r="G742" s="515"/>
      <c r="H742" s="515"/>
      <c r="I742" s="102"/>
      <c r="J742" s="109">
        <f>J723</f>
        <v>15826000</v>
      </c>
    </row>
    <row r="743" spans="2:17" ht="18" customHeight="1">
      <c r="B743"/>
      <c r="C743" s="561"/>
      <c r="D743" s="562"/>
      <c r="E743" s="562"/>
      <c r="F743" s="562"/>
      <c r="G743" s="79"/>
      <c r="I743" s="563" t="s">
        <v>982</v>
      </c>
      <c r="J743" s="564"/>
    </row>
    <row r="744" spans="2:17" ht="18" customHeight="1">
      <c r="B744"/>
      <c r="C744" s="77"/>
      <c r="D744" s="77"/>
      <c r="E744" s="78" t="s">
        <v>76</v>
      </c>
      <c r="G744" s="78"/>
      <c r="H744" s="810" t="s">
        <v>77</v>
      </c>
      <c r="I744" s="810"/>
      <c r="J744" s="810"/>
    </row>
    <row r="745" spans="2:17" ht="15.95" customHeight="1">
      <c r="B745"/>
      <c r="C745" s="77"/>
      <c r="D745" s="77"/>
      <c r="E745" s="78" t="s">
        <v>78</v>
      </c>
      <c r="G745" s="522"/>
      <c r="H745" s="79"/>
      <c r="I745" s="104"/>
      <c r="J745" s="104"/>
    </row>
    <row r="746" spans="2:17" ht="15.95" customHeight="1">
      <c r="B746"/>
      <c r="C746" s="77"/>
      <c r="D746" s="522"/>
      <c r="E746" s="522"/>
      <c r="F746" s="522"/>
      <c r="G746" s="522"/>
      <c r="H746" s="79"/>
      <c r="I746" s="80"/>
      <c r="J746" s="80"/>
      <c r="L746" s="82">
        <v>6880250</v>
      </c>
    </row>
    <row r="747" spans="2:17" ht="15.95" customHeight="1">
      <c r="B747"/>
      <c r="C747" s="77"/>
      <c r="D747" s="522"/>
      <c r="E747" s="522"/>
      <c r="F747" s="522"/>
      <c r="G747" s="522"/>
      <c r="H747" s="79"/>
      <c r="I747" s="80"/>
      <c r="J747" s="80"/>
      <c r="L747" s="82">
        <f>SUM(J746-L746)</f>
        <v>-6880250</v>
      </c>
      <c r="M747" s="82">
        <f>L747/75000</f>
        <v>-91.736666666666665</v>
      </c>
    </row>
    <row r="748" spans="2:17" ht="15.95" customHeight="1">
      <c r="B748"/>
      <c r="C748" s="77"/>
      <c r="D748" s="522"/>
      <c r="E748" s="522"/>
      <c r="F748" s="522"/>
      <c r="G748" s="522"/>
      <c r="H748" s="79"/>
      <c r="I748" s="80"/>
      <c r="J748" s="80"/>
    </row>
    <row r="749" spans="2:17" ht="15.95" customHeight="1">
      <c r="B749"/>
      <c r="C749" s="77"/>
      <c r="D749" s="522"/>
      <c r="E749" s="78" t="s">
        <v>51</v>
      </c>
      <c r="G749" s="78"/>
      <c r="H749" s="810" t="s">
        <v>225</v>
      </c>
      <c r="I749" s="810"/>
      <c r="J749" s="810"/>
      <c r="L749" s="82">
        <f>J746*7.5%</f>
        <v>0</v>
      </c>
    </row>
    <row r="750" spans="2:17" ht="18" customHeight="1">
      <c r="B750"/>
      <c r="C750"/>
      <c r="D750"/>
      <c r="E750"/>
      <c r="F750"/>
      <c r="G750"/>
      <c r="H750"/>
      <c r="I750"/>
      <c r="J750"/>
    </row>
    <row r="751" spans="2:17" ht="18" customHeight="1">
      <c r="B751"/>
      <c r="C751"/>
      <c r="D751"/>
      <c r="E751"/>
      <c r="F751"/>
      <c r="G751"/>
      <c r="H751"/>
      <c r="I751"/>
      <c r="J751"/>
    </row>
    <row r="752" spans="2:17" ht="18" customHeight="1">
      <c r="B752"/>
      <c r="C752"/>
      <c r="D752"/>
      <c r="E752"/>
      <c r="F752"/>
      <c r="G752"/>
      <c r="H752"/>
      <c r="I752"/>
      <c r="J752"/>
    </row>
    <row r="753" spans="2:10" ht="18" customHeight="1">
      <c r="B753"/>
      <c r="C753"/>
      <c r="D753"/>
      <c r="E753"/>
      <c r="F753"/>
      <c r="G753"/>
      <c r="H753"/>
      <c r="I753"/>
      <c r="J753"/>
    </row>
    <row r="754" spans="2:10" ht="18" customHeight="1">
      <c r="B754"/>
      <c r="C754"/>
      <c r="D754"/>
      <c r="E754"/>
      <c r="F754"/>
      <c r="G754"/>
      <c r="H754"/>
      <c r="I754"/>
      <c r="J754"/>
    </row>
    <row r="755" spans="2:10" ht="18" customHeight="1">
      <c r="B755"/>
      <c r="C755"/>
      <c r="D755"/>
      <c r="E755"/>
      <c r="F755"/>
      <c r="G755"/>
      <c r="H755"/>
      <c r="I755"/>
      <c r="J755"/>
    </row>
    <row r="756" spans="2:10" ht="18" customHeight="1">
      <c r="B756"/>
      <c r="C756"/>
      <c r="D756"/>
      <c r="E756"/>
      <c r="F756"/>
      <c r="G756"/>
      <c r="H756"/>
      <c r="I756"/>
      <c r="J756"/>
    </row>
    <row r="757" spans="2:10" ht="18" customHeight="1">
      <c r="B757"/>
      <c r="C757"/>
      <c r="D757"/>
      <c r="E757"/>
      <c r="F757"/>
      <c r="G757"/>
      <c r="H757"/>
      <c r="I757"/>
      <c r="J757"/>
    </row>
    <row r="758" spans="2:10" ht="18" customHeight="1">
      <c r="B758"/>
      <c r="C758"/>
      <c r="D758"/>
      <c r="E758"/>
      <c r="F758"/>
      <c r="G758"/>
      <c r="H758"/>
      <c r="I758"/>
      <c r="J758"/>
    </row>
    <row r="759" spans="2:10" ht="18" customHeight="1">
      <c r="B759"/>
      <c r="C759"/>
      <c r="D759"/>
      <c r="E759"/>
      <c r="F759"/>
      <c r="G759"/>
      <c r="H759"/>
      <c r="I759"/>
      <c r="J759"/>
    </row>
    <row r="760" spans="2:10" ht="18" customHeight="1">
      <c r="B760"/>
      <c r="C760"/>
      <c r="D760"/>
      <c r="E760"/>
      <c r="F760"/>
      <c r="G760"/>
      <c r="H760"/>
      <c r="I760"/>
      <c r="J760"/>
    </row>
    <row r="761" spans="2:10" ht="18" customHeight="1">
      <c r="B761"/>
      <c r="C761"/>
      <c r="D761"/>
      <c r="E761"/>
      <c r="F761"/>
      <c r="G761"/>
      <c r="H761"/>
      <c r="I761"/>
      <c r="J761"/>
    </row>
    <row r="762" spans="2:10" ht="18" customHeight="1">
      <c r="B762"/>
      <c r="C762"/>
      <c r="D762"/>
      <c r="E762"/>
      <c r="F762"/>
      <c r="G762"/>
      <c r="H762"/>
      <c r="I762"/>
      <c r="J762"/>
    </row>
    <row r="763" spans="2:10" ht="18" customHeight="1">
      <c r="B763"/>
      <c r="C763"/>
      <c r="D763"/>
      <c r="E763"/>
      <c r="F763"/>
      <c r="G763"/>
      <c r="H763"/>
      <c r="I763"/>
      <c r="J763"/>
    </row>
    <row r="764" spans="2:10" ht="18" customHeight="1">
      <c r="B764"/>
      <c r="C764"/>
      <c r="D764"/>
      <c r="E764"/>
      <c r="F764"/>
      <c r="G764"/>
      <c r="H764"/>
      <c r="I764"/>
      <c r="J764"/>
    </row>
    <row r="765" spans="2:10" ht="18" customHeight="1">
      <c r="B765"/>
      <c r="C765"/>
      <c r="D765"/>
      <c r="E765"/>
      <c r="F765"/>
      <c r="G765"/>
      <c r="H765"/>
      <c r="I765"/>
      <c r="J765"/>
    </row>
    <row r="766" spans="2:10" ht="18" customHeight="1">
      <c r="B766"/>
      <c r="C766"/>
      <c r="D766"/>
      <c r="E766"/>
      <c r="F766"/>
      <c r="G766"/>
      <c r="H766"/>
      <c r="I766"/>
      <c r="J766"/>
    </row>
    <row r="767" spans="2:10" ht="18" customHeight="1">
      <c r="B767"/>
      <c r="C767"/>
      <c r="D767"/>
      <c r="E767"/>
      <c r="F767"/>
      <c r="G767"/>
      <c r="H767"/>
      <c r="I767"/>
      <c r="J767"/>
    </row>
    <row r="768" spans="2:10" ht="18" customHeight="1">
      <c r="B768"/>
      <c r="C768"/>
      <c r="D768"/>
      <c r="E768"/>
      <c r="F768"/>
      <c r="G768"/>
      <c r="H768"/>
      <c r="I768"/>
      <c r="J768"/>
    </row>
    <row r="769" spans="2:10" ht="18" customHeight="1">
      <c r="B769"/>
      <c r="C769"/>
      <c r="D769"/>
      <c r="E769"/>
      <c r="F769"/>
      <c r="G769"/>
      <c r="H769"/>
      <c r="I769"/>
      <c r="J769"/>
    </row>
    <row r="770" spans="2:10" ht="18" customHeight="1">
      <c r="B770"/>
      <c r="C770"/>
      <c r="D770"/>
      <c r="E770"/>
      <c r="F770"/>
      <c r="G770"/>
      <c r="H770"/>
      <c r="I770"/>
      <c r="J770"/>
    </row>
    <row r="771" spans="2:10" ht="18" customHeight="1">
      <c r="B771"/>
      <c r="C771"/>
      <c r="D771"/>
      <c r="E771"/>
      <c r="F771"/>
      <c r="G771"/>
      <c r="H771"/>
      <c r="I771"/>
      <c r="J771"/>
    </row>
    <row r="772" spans="2:10" ht="18" customHeight="1">
      <c r="B772"/>
      <c r="C772"/>
      <c r="D772"/>
      <c r="E772"/>
      <c r="F772"/>
      <c r="G772"/>
      <c r="H772"/>
      <c r="I772"/>
      <c r="J772"/>
    </row>
    <row r="773" spans="2:10" ht="18" customHeight="1">
      <c r="B773"/>
      <c r="C773"/>
      <c r="D773"/>
      <c r="E773"/>
      <c r="F773"/>
      <c r="G773"/>
      <c r="H773"/>
      <c r="I773"/>
      <c r="J773"/>
    </row>
    <row r="774" spans="2:10" ht="18" customHeight="1">
      <c r="B774"/>
      <c r="C774"/>
      <c r="D774"/>
      <c r="E774"/>
      <c r="F774"/>
      <c r="G774"/>
      <c r="H774"/>
      <c r="I774"/>
      <c r="J774"/>
    </row>
    <row r="775" spans="2:10" ht="18" customHeight="1">
      <c r="B775"/>
      <c r="C775"/>
      <c r="D775"/>
      <c r="E775"/>
      <c r="F775"/>
      <c r="G775"/>
      <c r="H775"/>
      <c r="I775"/>
      <c r="J775"/>
    </row>
    <row r="776" spans="2:10" ht="18" customHeight="1">
      <c r="B776"/>
      <c r="C776"/>
      <c r="D776"/>
      <c r="E776"/>
      <c r="F776"/>
      <c r="G776"/>
      <c r="H776"/>
      <c r="I776"/>
      <c r="J776"/>
    </row>
    <row r="777" spans="2:10" ht="18" customHeight="1">
      <c r="B777"/>
      <c r="C777"/>
      <c r="D777"/>
      <c r="E777"/>
      <c r="F777"/>
      <c r="G777"/>
      <c r="H777"/>
      <c r="I777"/>
      <c r="J777"/>
    </row>
    <row r="778" spans="2:10" ht="18" customHeight="1">
      <c r="B778"/>
      <c r="C778"/>
      <c r="D778"/>
      <c r="E778"/>
      <c r="F778"/>
      <c r="G778"/>
      <c r="H778"/>
      <c r="I778"/>
      <c r="J778"/>
    </row>
    <row r="779" spans="2:10" ht="18" customHeight="1">
      <c r="B779"/>
      <c r="C779"/>
      <c r="D779"/>
      <c r="E779"/>
      <c r="F779"/>
      <c r="G779"/>
      <c r="H779"/>
      <c r="I779"/>
      <c r="J779"/>
    </row>
    <row r="780" spans="2:10" ht="18" customHeight="1">
      <c r="B780"/>
      <c r="C780"/>
      <c r="D780"/>
      <c r="E780"/>
      <c r="F780"/>
      <c r="G780"/>
      <c r="H780"/>
      <c r="I780"/>
      <c r="J780"/>
    </row>
    <row r="781" spans="2:10" ht="18" customHeight="1">
      <c r="B781"/>
      <c r="C781"/>
      <c r="D781"/>
      <c r="E781"/>
      <c r="F781"/>
      <c r="G781"/>
      <c r="H781"/>
      <c r="I781"/>
      <c r="J781"/>
    </row>
    <row r="782" spans="2:10" ht="18" customHeight="1">
      <c r="B782"/>
      <c r="C782"/>
      <c r="D782"/>
      <c r="E782"/>
      <c r="F782"/>
      <c r="G782"/>
      <c r="H782"/>
      <c r="I782"/>
      <c r="J782"/>
    </row>
    <row r="783" spans="2:10" ht="18" customHeight="1">
      <c r="B783"/>
      <c r="C783"/>
      <c r="D783"/>
      <c r="E783"/>
      <c r="F783"/>
      <c r="G783"/>
      <c r="H783"/>
      <c r="I783"/>
      <c r="J783"/>
    </row>
    <row r="784" spans="2:10" ht="18" customHeight="1">
      <c r="B784"/>
      <c r="C784"/>
      <c r="D784"/>
      <c r="E784"/>
      <c r="F784"/>
      <c r="G784"/>
      <c r="H784"/>
      <c r="I784"/>
      <c r="J784"/>
    </row>
    <row r="785" spans="2:10" ht="18" customHeight="1">
      <c r="B785"/>
      <c r="C785"/>
      <c r="D785"/>
      <c r="E785"/>
      <c r="F785"/>
      <c r="G785"/>
      <c r="H785"/>
      <c r="I785"/>
      <c r="J785"/>
    </row>
    <row r="786" spans="2:10" ht="18" customHeight="1">
      <c r="B786"/>
      <c r="C786"/>
      <c r="D786"/>
      <c r="E786"/>
      <c r="F786"/>
      <c r="G786"/>
      <c r="H786"/>
      <c r="I786"/>
      <c r="J786"/>
    </row>
    <row r="787" spans="2:10" ht="18" customHeight="1">
      <c r="B787"/>
      <c r="C787"/>
      <c r="D787"/>
      <c r="E787"/>
      <c r="F787"/>
      <c r="G787"/>
      <c r="H787"/>
      <c r="I787"/>
      <c r="J787"/>
    </row>
    <row r="788" spans="2:10" ht="18" customHeight="1">
      <c r="B788"/>
      <c r="C788"/>
      <c r="D788"/>
      <c r="E788"/>
      <c r="F788"/>
      <c r="G788"/>
      <c r="H788"/>
      <c r="I788"/>
      <c r="J788"/>
    </row>
    <row r="789" spans="2:10" ht="18" customHeight="1">
      <c r="B789"/>
      <c r="C789"/>
      <c r="D789"/>
      <c r="E789"/>
      <c r="F789"/>
      <c r="G789"/>
      <c r="H789"/>
      <c r="I789"/>
      <c r="J789"/>
    </row>
    <row r="790" spans="2:10" ht="18" customHeight="1">
      <c r="B790"/>
      <c r="C790"/>
      <c r="D790"/>
      <c r="E790"/>
      <c r="F790"/>
      <c r="G790"/>
      <c r="H790"/>
      <c r="I790"/>
      <c r="J790"/>
    </row>
    <row r="791" spans="2:10" ht="18" customHeight="1">
      <c r="B791"/>
      <c r="C791"/>
      <c r="D791"/>
      <c r="E791"/>
      <c r="F791"/>
      <c r="G791"/>
      <c r="H791"/>
      <c r="I791"/>
      <c r="J791"/>
    </row>
    <row r="792" spans="2:10" ht="18" customHeight="1">
      <c r="B792"/>
      <c r="C792"/>
      <c r="D792"/>
      <c r="E792"/>
      <c r="F792"/>
      <c r="G792"/>
      <c r="H792"/>
      <c r="I792"/>
      <c r="J792"/>
    </row>
    <row r="793" spans="2:10" ht="18" customHeight="1">
      <c r="B793"/>
      <c r="C793"/>
      <c r="D793"/>
      <c r="E793"/>
      <c r="F793"/>
      <c r="G793"/>
      <c r="H793"/>
      <c r="I793"/>
      <c r="J793"/>
    </row>
    <row r="794" spans="2:10" ht="18" customHeight="1">
      <c r="B794"/>
      <c r="C794"/>
      <c r="D794"/>
      <c r="E794"/>
      <c r="F794"/>
      <c r="G794"/>
      <c r="H794"/>
      <c r="I794"/>
      <c r="J794"/>
    </row>
    <row r="795" spans="2:10" ht="18" customHeight="1">
      <c r="B795"/>
      <c r="C795"/>
      <c r="D795"/>
      <c r="E795"/>
      <c r="F795"/>
      <c r="G795"/>
      <c r="H795"/>
      <c r="I795"/>
      <c r="J795"/>
    </row>
    <row r="796" spans="2:10" ht="18" customHeight="1">
      <c r="B796"/>
      <c r="C796"/>
      <c r="D796"/>
      <c r="E796"/>
      <c r="F796"/>
      <c r="G796"/>
      <c r="H796"/>
      <c r="I796"/>
      <c r="J796"/>
    </row>
    <row r="797" spans="2:10" ht="18" customHeight="1">
      <c r="B797"/>
      <c r="C797"/>
      <c r="D797"/>
      <c r="E797"/>
      <c r="F797"/>
      <c r="G797"/>
      <c r="H797"/>
      <c r="I797"/>
      <c r="J797"/>
    </row>
    <row r="798" spans="2:10" ht="18" customHeight="1">
      <c r="B798"/>
      <c r="C798"/>
      <c r="D798"/>
      <c r="E798"/>
      <c r="F798"/>
      <c r="G798"/>
      <c r="H798"/>
      <c r="I798"/>
      <c r="J798"/>
    </row>
    <row r="799" spans="2:10" ht="18" customHeight="1">
      <c r="B799"/>
      <c r="C799"/>
      <c r="D799"/>
      <c r="E799"/>
      <c r="F799"/>
      <c r="G799"/>
      <c r="H799"/>
      <c r="I799"/>
      <c r="J799"/>
    </row>
    <row r="800" spans="2:10" ht="18" customHeight="1">
      <c r="B800"/>
      <c r="C800"/>
      <c r="D800"/>
      <c r="E800"/>
      <c r="F800"/>
      <c r="G800"/>
      <c r="H800"/>
      <c r="I800"/>
      <c r="J800"/>
    </row>
    <row r="801" spans="2:10" ht="18" customHeight="1">
      <c r="B801"/>
      <c r="C801"/>
      <c r="D801"/>
      <c r="E801"/>
      <c r="F801"/>
      <c r="G801"/>
      <c r="H801"/>
      <c r="I801"/>
      <c r="J801"/>
    </row>
    <row r="802" spans="2:10" ht="18" customHeight="1">
      <c r="B802"/>
      <c r="C802"/>
      <c r="D802"/>
      <c r="E802"/>
      <c r="F802"/>
      <c r="G802"/>
      <c r="H802"/>
      <c r="I802"/>
      <c r="J802"/>
    </row>
    <row r="803" spans="2:10" ht="18" customHeight="1">
      <c r="B803"/>
      <c r="C803"/>
      <c r="D803"/>
      <c r="E803"/>
      <c r="F803"/>
      <c r="G803"/>
      <c r="H803"/>
      <c r="I803"/>
      <c r="J803"/>
    </row>
    <row r="804" spans="2:10" ht="18" customHeight="1">
      <c r="B804"/>
      <c r="C804"/>
      <c r="D804"/>
      <c r="E804"/>
      <c r="F804"/>
      <c r="G804"/>
      <c r="H804"/>
      <c r="I804"/>
      <c r="J804"/>
    </row>
    <row r="805" spans="2:10" ht="18" customHeight="1">
      <c r="B805"/>
      <c r="C805"/>
      <c r="D805"/>
      <c r="E805"/>
      <c r="F805"/>
      <c r="G805"/>
      <c r="H805"/>
      <c r="I805"/>
      <c r="J805"/>
    </row>
    <row r="806" spans="2:10" ht="18" customHeight="1">
      <c r="B806"/>
      <c r="C806"/>
      <c r="D806"/>
      <c r="E806"/>
      <c r="F806"/>
      <c r="G806"/>
      <c r="H806"/>
      <c r="I806"/>
      <c r="J806"/>
    </row>
    <row r="807" spans="2:10" ht="18" customHeight="1">
      <c r="B807"/>
      <c r="C807"/>
      <c r="D807"/>
      <c r="E807"/>
      <c r="F807"/>
      <c r="G807"/>
      <c r="H807"/>
      <c r="I807"/>
      <c r="J807"/>
    </row>
    <row r="808" spans="2:10" ht="18" customHeight="1">
      <c r="B808"/>
      <c r="C808"/>
      <c r="D808"/>
      <c r="E808"/>
      <c r="F808"/>
      <c r="G808"/>
      <c r="H808"/>
      <c r="I808"/>
      <c r="J808"/>
    </row>
    <row r="809" spans="2:10" ht="18" customHeight="1">
      <c r="B809"/>
      <c r="C809"/>
      <c r="D809"/>
      <c r="E809"/>
      <c r="F809"/>
      <c r="G809"/>
      <c r="H809"/>
      <c r="I809"/>
      <c r="J809"/>
    </row>
    <row r="810" spans="2:10" ht="18" customHeight="1">
      <c r="B810"/>
      <c r="C810"/>
      <c r="D810"/>
      <c r="E810"/>
      <c r="F810"/>
      <c r="G810"/>
      <c r="H810"/>
      <c r="I810"/>
      <c r="J810"/>
    </row>
    <row r="811" spans="2:10" ht="18" customHeight="1">
      <c r="B811"/>
      <c r="C811"/>
      <c r="D811"/>
      <c r="E811"/>
      <c r="F811"/>
      <c r="G811"/>
      <c r="H811"/>
      <c r="I811"/>
      <c r="J811"/>
    </row>
    <row r="812" spans="2:10" ht="18" customHeight="1">
      <c r="B812"/>
      <c r="C812"/>
      <c r="D812"/>
      <c r="E812"/>
      <c r="F812"/>
      <c r="G812"/>
      <c r="H812"/>
      <c r="I812"/>
      <c r="J812"/>
    </row>
    <row r="813" spans="2:10" ht="18" customHeight="1">
      <c r="B813"/>
      <c r="C813"/>
      <c r="D813"/>
      <c r="E813"/>
      <c r="F813"/>
      <c r="G813"/>
      <c r="H813"/>
      <c r="I813"/>
      <c r="J813"/>
    </row>
    <row r="814" spans="2:10" ht="18" customHeight="1">
      <c r="B814"/>
      <c r="C814"/>
      <c r="D814"/>
      <c r="E814"/>
      <c r="F814"/>
      <c r="G814"/>
      <c r="H814"/>
      <c r="I814"/>
      <c r="J814"/>
    </row>
    <row r="815" spans="2:10" ht="18" customHeight="1">
      <c r="B815"/>
      <c r="C815"/>
      <c r="D815"/>
      <c r="E815"/>
      <c r="F815"/>
      <c r="G815"/>
      <c r="H815"/>
      <c r="I815"/>
      <c r="J815"/>
    </row>
    <row r="816" spans="2:10" ht="18" customHeight="1">
      <c r="B816"/>
      <c r="C816"/>
      <c r="D816"/>
      <c r="E816"/>
      <c r="F816"/>
      <c r="G816"/>
      <c r="H816"/>
      <c r="I816"/>
      <c r="J816"/>
    </row>
    <row r="817" spans="2:10" ht="18" customHeight="1">
      <c r="B817"/>
      <c r="C817"/>
      <c r="D817"/>
      <c r="E817"/>
      <c r="F817"/>
      <c r="G817"/>
      <c r="H817"/>
      <c r="I817"/>
      <c r="J817"/>
    </row>
    <row r="818" spans="2:10" ht="18" customHeight="1">
      <c r="B818"/>
      <c r="C818"/>
      <c r="D818"/>
      <c r="E818"/>
      <c r="F818"/>
      <c r="G818"/>
      <c r="H818"/>
      <c r="I818"/>
      <c r="J818"/>
    </row>
    <row r="819" spans="2:10" ht="18" customHeight="1">
      <c r="B819"/>
      <c r="C819"/>
      <c r="D819"/>
      <c r="E819"/>
      <c r="F819"/>
      <c r="G819"/>
      <c r="H819"/>
      <c r="I819"/>
      <c r="J819"/>
    </row>
    <row r="820" spans="2:10" ht="18" customHeight="1">
      <c r="B820"/>
      <c r="C820"/>
      <c r="D820"/>
      <c r="E820"/>
      <c r="F820"/>
      <c r="G820"/>
      <c r="H820"/>
      <c r="I820"/>
      <c r="J820"/>
    </row>
    <row r="821" spans="2:10" ht="18" customHeight="1">
      <c r="B821"/>
      <c r="C821"/>
      <c r="D821"/>
      <c r="E821"/>
      <c r="F821"/>
      <c r="G821"/>
      <c r="H821"/>
      <c r="I821"/>
      <c r="J821"/>
    </row>
    <row r="822" spans="2:10" ht="18" customHeight="1">
      <c r="B822"/>
      <c r="C822"/>
      <c r="D822"/>
      <c r="E822"/>
      <c r="F822"/>
      <c r="G822"/>
      <c r="H822"/>
      <c r="I822"/>
      <c r="J822"/>
    </row>
    <row r="823" spans="2:10" ht="18" customHeight="1">
      <c r="B823"/>
      <c r="C823"/>
      <c r="D823"/>
      <c r="E823"/>
      <c r="F823"/>
      <c r="G823"/>
      <c r="H823"/>
      <c r="I823"/>
      <c r="J823"/>
    </row>
    <row r="824" spans="2:10" ht="18" customHeight="1">
      <c r="B824"/>
      <c r="C824"/>
      <c r="D824"/>
      <c r="E824"/>
      <c r="F824"/>
      <c r="G824"/>
      <c r="H824"/>
      <c r="I824"/>
      <c r="J824"/>
    </row>
    <row r="825" spans="2:10" ht="18" customHeight="1">
      <c r="B825"/>
      <c r="C825"/>
      <c r="D825"/>
      <c r="E825"/>
      <c r="F825"/>
      <c r="G825"/>
      <c r="H825"/>
      <c r="I825"/>
      <c r="J825"/>
    </row>
    <row r="826" spans="2:10" ht="18" customHeight="1">
      <c r="B826"/>
      <c r="C826"/>
      <c r="D826"/>
      <c r="E826"/>
      <c r="F826"/>
      <c r="G826"/>
      <c r="H826"/>
      <c r="I826"/>
      <c r="J826"/>
    </row>
    <row r="827" spans="2:10" ht="18" customHeight="1">
      <c r="B827"/>
      <c r="C827"/>
      <c r="D827"/>
      <c r="E827"/>
      <c r="F827"/>
      <c r="G827"/>
      <c r="H827"/>
      <c r="I827"/>
      <c r="J827"/>
    </row>
    <row r="828" spans="2:10" ht="18" customHeight="1">
      <c r="B828"/>
      <c r="C828"/>
      <c r="D828"/>
      <c r="E828"/>
      <c r="F828"/>
      <c r="G828"/>
      <c r="H828"/>
      <c r="I828"/>
      <c r="J828"/>
    </row>
    <row r="829" spans="2:10" ht="18" customHeight="1">
      <c r="B829"/>
      <c r="C829"/>
      <c r="D829"/>
      <c r="E829"/>
      <c r="F829"/>
      <c r="G829"/>
      <c r="H829"/>
      <c r="I829"/>
      <c r="J829"/>
    </row>
    <row r="830" spans="2:10" ht="18" customHeight="1">
      <c r="B830"/>
      <c r="C830"/>
      <c r="D830"/>
      <c r="E830"/>
      <c r="F830"/>
      <c r="G830"/>
      <c r="H830"/>
      <c r="I830"/>
      <c r="J830"/>
    </row>
    <row r="831" spans="2:10" ht="18" customHeight="1">
      <c r="B831"/>
      <c r="C831"/>
      <c r="D831"/>
      <c r="E831"/>
      <c r="F831"/>
      <c r="G831"/>
      <c r="H831"/>
      <c r="I831"/>
      <c r="J831"/>
    </row>
    <row r="832" spans="2:10" ht="18" customHeight="1">
      <c r="B832"/>
      <c r="C832"/>
      <c r="D832"/>
      <c r="E832"/>
      <c r="F832"/>
      <c r="G832"/>
      <c r="H832"/>
      <c r="I832"/>
      <c r="J832"/>
    </row>
    <row r="833" spans="2:10" ht="18" customHeight="1">
      <c r="B833"/>
      <c r="C833"/>
      <c r="D833"/>
      <c r="E833"/>
      <c r="F833"/>
      <c r="G833"/>
      <c r="H833"/>
      <c r="I833"/>
      <c r="J833"/>
    </row>
    <row r="834" spans="2:10" ht="18" customHeight="1">
      <c r="B834"/>
      <c r="C834"/>
      <c r="D834"/>
      <c r="E834"/>
      <c r="F834"/>
      <c r="G834"/>
      <c r="H834"/>
      <c r="I834"/>
      <c r="J834"/>
    </row>
    <row r="835" spans="2:10" ht="18" customHeight="1">
      <c r="B835"/>
      <c r="C835"/>
      <c r="D835"/>
      <c r="E835"/>
      <c r="F835"/>
      <c r="G835"/>
      <c r="H835"/>
      <c r="I835"/>
      <c r="J835"/>
    </row>
    <row r="836" spans="2:10" ht="18" customHeight="1">
      <c r="B836"/>
      <c r="C836"/>
      <c r="D836"/>
      <c r="E836"/>
      <c r="F836"/>
      <c r="G836"/>
      <c r="H836"/>
      <c r="I836"/>
      <c r="J836"/>
    </row>
    <row r="837" spans="2:10" ht="18" customHeight="1">
      <c r="B837"/>
      <c r="C837"/>
      <c r="D837"/>
      <c r="E837"/>
      <c r="F837"/>
      <c r="G837"/>
      <c r="H837"/>
      <c r="I837"/>
      <c r="J837"/>
    </row>
    <row r="838" spans="2:10" ht="18" customHeight="1">
      <c r="B838"/>
      <c r="C838"/>
      <c r="D838"/>
      <c r="E838"/>
      <c r="F838"/>
      <c r="G838"/>
      <c r="H838"/>
      <c r="I838"/>
      <c r="J838"/>
    </row>
    <row r="839" spans="2:10" ht="18" customHeight="1">
      <c r="B839"/>
      <c r="C839"/>
      <c r="D839"/>
      <c r="E839"/>
      <c r="F839"/>
      <c r="G839"/>
      <c r="H839"/>
      <c r="I839"/>
      <c r="J839"/>
    </row>
    <row r="840" spans="2:10" ht="18" customHeight="1">
      <c r="B840"/>
      <c r="C840"/>
      <c r="D840"/>
      <c r="E840"/>
      <c r="F840"/>
      <c r="G840"/>
      <c r="H840"/>
      <c r="I840"/>
      <c r="J840"/>
    </row>
    <row r="841" spans="2:10" ht="18" customHeight="1">
      <c r="B841"/>
      <c r="C841"/>
      <c r="D841"/>
      <c r="E841"/>
      <c r="F841"/>
      <c r="G841"/>
      <c r="H841"/>
      <c r="I841"/>
      <c r="J841"/>
    </row>
    <row r="842" spans="2:10" ht="18" customHeight="1">
      <c r="B842"/>
      <c r="C842"/>
      <c r="D842"/>
      <c r="E842"/>
      <c r="F842"/>
      <c r="G842"/>
      <c r="H842"/>
      <c r="I842"/>
      <c r="J842"/>
    </row>
    <row r="843" spans="2:10" ht="18" customHeight="1">
      <c r="B843"/>
      <c r="C843"/>
      <c r="D843"/>
      <c r="E843"/>
      <c r="F843"/>
      <c r="G843"/>
      <c r="H843"/>
      <c r="I843"/>
      <c r="J843"/>
    </row>
    <row r="844" spans="2:10" ht="18" customHeight="1">
      <c r="B844"/>
      <c r="C844"/>
      <c r="D844"/>
      <c r="E844"/>
      <c r="F844"/>
      <c r="G844"/>
      <c r="H844"/>
      <c r="I844"/>
      <c r="J844"/>
    </row>
    <row r="845" spans="2:10" ht="18" customHeight="1">
      <c r="B845"/>
      <c r="C845"/>
      <c r="D845"/>
      <c r="E845"/>
      <c r="F845"/>
      <c r="G845"/>
      <c r="H845"/>
      <c r="I845"/>
      <c r="J845"/>
    </row>
    <row r="846" spans="2:10" ht="18" customHeight="1">
      <c r="B846"/>
      <c r="C846"/>
      <c r="D846"/>
      <c r="E846"/>
      <c r="F846"/>
      <c r="G846"/>
      <c r="H846"/>
      <c r="I846"/>
      <c r="J846"/>
    </row>
    <row r="847" spans="2:10" ht="18" customHeight="1">
      <c r="B847"/>
      <c r="C847"/>
      <c r="D847"/>
      <c r="E847"/>
      <c r="F847"/>
      <c r="G847"/>
      <c r="H847"/>
      <c r="I847"/>
      <c r="J847"/>
    </row>
    <row r="848" spans="2:10" ht="18" customHeight="1">
      <c r="B848"/>
      <c r="C848"/>
      <c r="D848"/>
      <c r="E848"/>
      <c r="F848"/>
      <c r="G848"/>
      <c r="H848"/>
      <c r="I848"/>
      <c r="J848"/>
    </row>
    <row r="849" spans="2:10" ht="18" customHeight="1">
      <c r="B849"/>
      <c r="C849"/>
      <c r="D849"/>
      <c r="E849"/>
      <c r="F849"/>
      <c r="G849"/>
      <c r="H849"/>
      <c r="I849"/>
      <c r="J849"/>
    </row>
    <row r="850" spans="2:10" ht="18" customHeight="1">
      <c r="B850"/>
      <c r="C850"/>
      <c r="D850"/>
      <c r="E850"/>
      <c r="F850"/>
      <c r="G850"/>
      <c r="H850"/>
      <c r="I850"/>
      <c r="J850"/>
    </row>
    <row r="851" spans="2:10" ht="18" customHeight="1">
      <c r="B851"/>
      <c r="C851"/>
      <c r="D851"/>
      <c r="E851"/>
      <c r="F851"/>
      <c r="G851"/>
      <c r="H851"/>
      <c r="I851"/>
      <c r="J851"/>
    </row>
    <row r="852" spans="2:10" ht="18" customHeight="1">
      <c r="B852"/>
      <c r="C852"/>
      <c r="D852"/>
      <c r="E852"/>
      <c r="F852"/>
      <c r="G852"/>
      <c r="H852"/>
      <c r="I852"/>
      <c r="J852"/>
    </row>
    <row r="853" spans="2:10" ht="18" customHeight="1">
      <c r="B853"/>
      <c r="C853"/>
      <c r="D853"/>
      <c r="E853"/>
      <c r="F853"/>
      <c r="G853"/>
      <c r="H853"/>
      <c r="I853"/>
      <c r="J853"/>
    </row>
    <row r="854" spans="2:10" ht="18" customHeight="1">
      <c r="B854"/>
      <c r="C854"/>
      <c r="D854"/>
      <c r="E854"/>
      <c r="F854"/>
      <c r="G854"/>
      <c r="H854"/>
      <c r="I854"/>
      <c r="J854"/>
    </row>
    <row r="855" spans="2:10" ht="18" customHeight="1">
      <c r="B855"/>
      <c r="C855"/>
      <c r="D855"/>
      <c r="E855"/>
      <c r="F855"/>
      <c r="G855"/>
      <c r="H855"/>
      <c r="I855"/>
      <c r="J855"/>
    </row>
    <row r="856" spans="2:10" ht="18" customHeight="1">
      <c r="B856"/>
      <c r="C856"/>
      <c r="D856"/>
      <c r="E856"/>
      <c r="F856"/>
      <c r="G856"/>
      <c r="H856"/>
      <c r="I856"/>
      <c r="J856"/>
    </row>
    <row r="857" spans="2:10" ht="18" customHeight="1">
      <c r="B857"/>
      <c r="C857"/>
      <c r="D857"/>
      <c r="E857"/>
      <c r="F857"/>
      <c r="G857"/>
      <c r="H857"/>
      <c r="I857"/>
      <c r="J857"/>
    </row>
    <row r="858" spans="2:10" ht="18" customHeight="1">
      <c r="B858"/>
      <c r="C858"/>
      <c r="D858"/>
      <c r="E858"/>
      <c r="F858"/>
      <c r="G858"/>
      <c r="H858"/>
      <c r="I858"/>
      <c r="J858"/>
    </row>
    <row r="859" spans="2:10" ht="18" customHeight="1">
      <c r="B859"/>
      <c r="C859"/>
      <c r="D859"/>
      <c r="E859"/>
      <c r="F859"/>
      <c r="G859"/>
      <c r="H859"/>
      <c r="I859"/>
      <c r="J859"/>
    </row>
    <row r="860" spans="2:10" ht="18" customHeight="1">
      <c r="B860"/>
      <c r="C860"/>
      <c r="D860"/>
      <c r="E860"/>
      <c r="F860"/>
      <c r="G860"/>
      <c r="H860"/>
      <c r="I860"/>
      <c r="J860"/>
    </row>
    <row r="861" spans="2:10" ht="18" customHeight="1">
      <c r="B861"/>
      <c r="C861"/>
      <c r="D861"/>
      <c r="E861"/>
      <c r="F861"/>
      <c r="G861"/>
      <c r="H861"/>
      <c r="I861"/>
      <c r="J861"/>
    </row>
    <row r="862" spans="2:10" ht="18" customHeight="1">
      <c r="B862"/>
      <c r="C862"/>
      <c r="D862"/>
      <c r="E862"/>
      <c r="F862"/>
      <c r="G862"/>
      <c r="H862"/>
      <c r="I862"/>
      <c r="J862"/>
    </row>
    <row r="863" spans="2:10" ht="18" customHeight="1">
      <c r="B863"/>
      <c r="C863"/>
      <c r="D863"/>
      <c r="E863"/>
      <c r="F863"/>
      <c r="G863"/>
      <c r="H863"/>
      <c r="I863"/>
      <c r="J863"/>
    </row>
    <row r="864" spans="2:10" ht="18" customHeight="1">
      <c r="B864"/>
      <c r="C864"/>
      <c r="D864"/>
      <c r="E864"/>
      <c r="F864"/>
      <c r="G864"/>
      <c r="H864"/>
      <c r="I864"/>
      <c r="J864"/>
    </row>
    <row r="865" spans="2:10" ht="18" customHeight="1">
      <c r="B865"/>
      <c r="C865"/>
      <c r="D865"/>
      <c r="E865"/>
      <c r="F865"/>
      <c r="G865"/>
      <c r="H865"/>
      <c r="I865"/>
      <c r="J865"/>
    </row>
    <row r="866" spans="2:10" ht="18" customHeight="1">
      <c r="B866"/>
      <c r="C866"/>
      <c r="D866"/>
      <c r="E866"/>
      <c r="F866"/>
      <c r="G866"/>
      <c r="H866"/>
      <c r="I866"/>
      <c r="J866"/>
    </row>
    <row r="867" spans="2:10" ht="18" customHeight="1">
      <c r="B867"/>
      <c r="C867"/>
      <c r="D867"/>
      <c r="E867"/>
      <c r="F867"/>
      <c r="G867"/>
      <c r="H867"/>
      <c r="I867"/>
      <c r="J867"/>
    </row>
    <row r="868" spans="2:10" ht="18" customHeight="1">
      <c r="B868"/>
      <c r="C868"/>
      <c r="D868"/>
      <c r="E868"/>
      <c r="F868"/>
      <c r="G868"/>
      <c r="H868"/>
      <c r="I868"/>
      <c r="J868"/>
    </row>
    <row r="869" spans="2:10" ht="18" customHeight="1">
      <c r="B869"/>
      <c r="C869"/>
      <c r="D869"/>
      <c r="E869"/>
      <c r="F869"/>
      <c r="G869"/>
      <c r="H869"/>
      <c r="I869"/>
      <c r="J869"/>
    </row>
    <row r="870" spans="2:10" ht="18" customHeight="1">
      <c r="B870"/>
      <c r="C870"/>
      <c r="D870"/>
      <c r="E870"/>
      <c r="F870"/>
      <c r="G870"/>
      <c r="H870"/>
      <c r="I870"/>
      <c r="J870"/>
    </row>
    <row r="871" spans="2:10" ht="18" customHeight="1">
      <c r="B871"/>
      <c r="C871"/>
      <c r="D871"/>
      <c r="E871"/>
      <c r="F871"/>
      <c r="G871"/>
      <c r="H871"/>
      <c r="I871"/>
      <c r="J871"/>
    </row>
    <row r="872" spans="2:10" ht="18" customHeight="1">
      <c r="B872"/>
      <c r="C872"/>
      <c r="D872"/>
      <c r="E872"/>
      <c r="F872"/>
      <c r="G872"/>
      <c r="H872"/>
      <c r="I872"/>
      <c r="J872"/>
    </row>
    <row r="873" spans="2:10" ht="18" customHeight="1">
      <c r="B873"/>
      <c r="C873"/>
      <c r="D873"/>
      <c r="E873"/>
      <c r="F873"/>
      <c r="G873"/>
      <c r="H873"/>
      <c r="I873"/>
      <c r="J873"/>
    </row>
    <row r="874" spans="2:10" ht="18" customHeight="1">
      <c r="B874"/>
      <c r="C874"/>
      <c r="D874"/>
      <c r="E874"/>
      <c r="F874"/>
      <c r="G874"/>
      <c r="H874"/>
      <c r="I874"/>
      <c r="J874"/>
    </row>
    <row r="875" spans="2:10" ht="18" customHeight="1">
      <c r="B875"/>
      <c r="C875"/>
      <c r="D875"/>
      <c r="E875"/>
      <c r="F875"/>
      <c r="G875"/>
      <c r="H875"/>
      <c r="I875"/>
      <c r="J875"/>
    </row>
    <row r="876" spans="2:10" ht="18" customHeight="1">
      <c r="B876"/>
      <c r="C876"/>
      <c r="D876"/>
      <c r="E876"/>
      <c r="F876"/>
      <c r="G876"/>
      <c r="H876"/>
      <c r="I876"/>
      <c r="J876"/>
    </row>
    <row r="877" spans="2:10" ht="18" customHeight="1">
      <c r="B877"/>
      <c r="C877"/>
      <c r="D877"/>
      <c r="E877"/>
      <c r="F877"/>
      <c r="G877"/>
      <c r="H877"/>
      <c r="I877"/>
      <c r="J877"/>
    </row>
    <row r="878" spans="2:10" ht="18" customHeight="1">
      <c r="B878"/>
      <c r="C878"/>
      <c r="D878"/>
      <c r="E878"/>
      <c r="F878"/>
      <c r="G878"/>
      <c r="H878"/>
      <c r="I878"/>
      <c r="J878"/>
    </row>
    <row r="879" spans="2:10" ht="18" customHeight="1">
      <c r="B879"/>
      <c r="C879"/>
      <c r="D879"/>
      <c r="E879"/>
      <c r="F879"/>
      <c r="G879"/>
      <c r="H879"/>
      <c r="I879"/>
      <c r="J879"/>
    </row>
    <row r="880" spans="2:10" ht="18" customHeight="1">
      <c r="B880"/>
      <c r="C880"/>
      <c r="D880"/>
      <c r="E880"/>
      <c r="F880"/>
      <c r="G880"/>
      <c r="H880"/>
      <c r="I880"/>
      <c r="J880"/>
    </row>
    <row r="881" spans="2:10" ht="18" customHeight="1">
      <c r="B881"/>
      <c r="C881"/>
      <c r="D881"/>
      <c r="E881"/>
      <c r="F881"/>
      <c r="G881"/>
      <c r="H881"/>
      <c r="I881"/>
      <c r="J881"/>
    </row>
    <row r="882" spans="2:10" ht="18" customHeight="1">
      <c r="B882"/>
      <c r="C882"/>
      <c r="D882"/>
      <c r="E882"/>
      <c r="F882"/>
      <c r="G882"/>
      <c r="H882"/>
      <c r="I882"/>
      <c r="J882"/>
    </row>
    <row r="883" spans="2:10" ht="18" customHeight="1">
      <c r="B883"/>
      <c r="C883"/>
      <c r="D883"/>
      <c r="E883"/>
      <c r="F883"/>
      <c r="G883"/>
      <c r="H883"/>
      <c r="I883"/>
      <c r="J883"/>
    </row>
    <row r="884" spans="2:10" ht="18" customHeight="1">
      <c r="B884"/>
      <c r="C884"/>
      <c r="D884"/>
      <c r="E884"/>
      <c r="F884"/>
      <c r="G884"/>
      <c r="H884"/>
      <c r="I884"/>
      <c r="J884"/>
    </row>
    <row r="885" spans="2:10" ht="18" customHeight="1">
      <c r="B885"/>
      <c r="C885"/>
      <c r="D885"/>
      <c r="E885"/>
      <c r="F885"/>
      <c r="G885"/>
      <c r="H885"/>
      <c r="I885"/>
      <c r="J885"/>
    </row>
    <row r="886" spans="2:10" ht="18" customHeight="1">
      <c r="B886"/>
      <c r="C886"/>
      <c r="D886"/>
      <c r="E886"/>
      <c r="F886"/>
      <c r="G886"/>
      <c r="H886"/>
      <c r="I886"/>
      <c r="J886"/>
    </row>
    <row r="887" spans="2:10" ht="18" customHeight="1">
      <c r="B887"/>
      <c r="C887"/>
      <c r="D887"/>
      <c r="E887"/>
      <c r="F887"/>
      <c r="G887"/>
      <c r="H887"/>
      <c r="I887"/>
      <c r="J887"/>
    </row>
    <row r="888" spans="2:10" ht="18" customHeight="1">
      <c r="B888"/>
      <c r="C888"/>
      <c r="D888"/>
      <c r="E888"/>
      <c r="F888"/>
      <c r="G888"/>
      <c r="H888"/>
      <c r="I888"/>
      <c r="J888"/>
    </row>
    <row r="889" spans="2:10" ht="18" customHeight="1">
      <c r="B889"/>
      <c r="C889"/>
      <c r="D889"/>
      <c r="E889"/>
      <c r="F889"/>
      <c r="G889"/>
      <c r="H889"/>
      <c r="I889"/>
      <c r="J889"/>
    </row>
    <row r="890" spans="2:10" ht="18" customHeight="1">
      <c r="B890"/>
      <c r="C890"/>
      <c r="D890"/>
      <c r="E890"/>
      <c r="F890"/>
      <c r="G890"/>
      <c r="H890"/>
      <c r="I890"/>
      <c r="J890"/>
    </row>
    <row r="891" spans="2:10" ht="18" customHeight="1">
      <c r="B891"/>
      <c r="C891"/>
      <c r="D891"/>
      <c r="E891"/>
      <c r="F891"/>
      <c r="G891"/>
      <c r="H891"/>
      <c r="I891"/>
      <c r="J891"/>
    </row>
    <row r="892" spans="2:10" ht="18" customHeight="1">
      <c r="B892"/>
      <c r="C892"/>
      <c r="D892"/>
      <c r="E892"/>
      <c r="F892"/>
      <c r="G892"/>
      <c r="H892"/>
      <c r="I892"/>
      <c r="J892"/>
    </row>
    <row r="893" spans="2:10" ht="18" customHeight="1">
      <c r="B893"/>
      <c r="C893"/>
      <c r="D893"/>
      <c r="E893"/>
      <c r="F893"/>
      <c r="G893"/>
      <c r="H893"/>
      <c r="I893"/>
      <c r="J893"/>
    </row>
    <row r="894" spans="2:10" ht="18" customHeight="1">
      <c r="B894"/>
      <c r="C894"/>
      <c r="D894"/>
      <c r="E894"/>
      <c r="F894"/>
      <c r="G894"/>
      <c r="H894"/>
      <c r="I894"/>
      <c r="J894"/>
    </row>
    <row r="895" spans="2:10" ht="18" customHeight="1">
      <c r="B895"/>
      <c r="C895"/>
      <c r="D895"/>
      <c r="E895"/>
      <c r="F895"/>
      <c r="G895"/>
      <c r="H895"/>
      <c r="I895"/>
      <c r="J895"/>
    </row>
    <row r="896" spans="2:10" ht="18" customHeight="1">
      <c r="B896"/>
      <c r="C896"/>
      <c r="D896"/>
      <c r="E896"/>
      <c r="F896"/>
      <c r="G896"/>
      <c r="H896"/>
      <c r="I896"/>
      <c r="J896"/>
    </row>
    <row r="897" spans="2:10" ht="18" customHeight="1">
      <c r="B897"/>
      <c r="C897"/>
      <c r="D897"/>
      <c r="E897"/>
      <c r="F897"/>
      <c r="G897"/>
      <c r="H897"/>
      <c r="I897"/>
      <c r="J897"/>
    </row>
    <row r="898" spans="2:10" ht="18" customHeight="1">
      <c r="B898"/>
      <c r="C898"/>
      <c r="D898"/>
      <c r="E898"/>
      <c r="F898"/>
      <c r="G898"/>
      <c r="H898"/>
      <c r="I898"/>
      <c r="J898"/>
    </row>
    <row r="899" spans="2:10" ht="18" customHeight="1">
      <c r="B899"/>
      <c r="C899"/>
      <c r="D899"/>
      <c r="E899"/>
      <c r="F899"/>
      <c r="G899"/>
      <c r="H899"/>
      <c r="I899"/>
      <c r="J899"/>
    </row>
    <row r="900" spans="2:10" ht="18" customHeight="1">
      <c r="B900"/>
      <c r="C900"/>
      <c r="D900"/>
      <c r="E900"/>
      <c r="F900"/>
      <c r="G900"/>
      <c r="H900"/>
      <c r="I900"/>
      <c r="J900"/>
    </row>
    <row r="901" spans="2:10" ht="18" customHeight="1">
      <c r="B901"/>
      <c r="C901"/>
      <c r="D901"/>
      <c r="E901"/>
      <c r="F901"/>
      <c r="G901"/>
      <c r="H901"/>
      <c r="I901"/>
      <c r="J901"/>
    </row>
    <row r="902" spans="2:10" ht="18" customHeight="1">
      <c r="B902"/>
      <c r="C902"/>
      <c r="D902"/>
      <c r="E902"/>
      <c r="F902"/>
      <c r="G902"/>
      <c r="H902"/>
      <c r="I902"/>
      <c r="J902"/>
    </row>
    <row r="903" spans="2:10" ht="18" customHeight="1">
      <c r="B903"/>
      <c r="C903"/>
      <c r="D903"/>
      <c r="E903"/>
      <c r="F903"/>
      <c r="G903"/>
      <c r="H903"/>
      <c r="I903"/>
      <c r="J903"/>
    </row>
    <row r="904" spans="2:10" ht="18" customHeight="1">
      <c r="B904"/>
      <c r="C904"/>
      <c r="D904"/>
      <c r="E904"/>
      <c r="F904"/>
      <c r="G904"/>
      <c r="H904"/>
      <c r="I904"/>
      <c r="J904"/>
    </row>
    <row r="905" spans="2:10" ht="18" customHeight="1">
      <c r="B905"/>
      <c r="C905"/>
      <c r="D905"/>
      <c r="E905"/>
      <c r="F905"/>
      <c r="G905"/>
      <c r="H905"/>
      <c r="I905"/>
      <c r="J905"/>
    </row>
    <row r="906" spans="2:10" ht="18" customHeight="1">
      <c r="B906"/>
      <c r="C906"/>
      <c r="D906"/>
      <c r="E906"/>
      <c r="F906"/>
      <c r="G906"/>
      <c r="H906"/>
      <c r="I906"/>
      <c r="J906"/>
    </row>
    <row r="907" spans="2:10" ht="18" customHeight="1">
      <c r="B907"/>
      <c r="C907"/>
      <c r="D907"/>
      <c r="E907"/>
      <c r="F907"/>
      <c r="G907"/>
      <c r="H907"/>
      <c r="I907"/>
      <c r="J907"/>
    </row>
    <row r="908" spans="2:10" ht="18" customHeight="1">
      <c r="B908"/>
      <c r="C908"/>
      <c r="D908"/>
      <c r="E908"/>
      <c r="F908"/>
      <c r="G908"/>
      <c r="H908"/>
      <c r="I908"/>
      <c r="J908"/>
    </row>
    <row r="909" spans="2:10" ht="18" customHeight="1">
      <c r="B909"/>
      <c r="C909"/>
      <c r="D909"/>
      <c r="E909"/>
      <c r="F909"/>
      <c r="G909"/>
      <c r="H909"/>
      <c r="I909"/>
      <c r="J909"/>
    </row>
    <row r="910" spans="2:10" ht="18" customHeight="1">
      <c r="B910"/>
      <c r="C910"/>
      <c r="D910"/>
      <c r="E910"/>
      <c r="F910"/>
      <c r="G910"/>
      <c r="H910"/>
      <c r="I910"/>
      <c r="J910"/>
    </row>
    <row r="911" spans="2:10" ht="18" customHeight="1">
      <c r="B911"/>
      <c r="C911"/>
      <c r="D911"/>
      <c r="E911"/>
      <c r="F911"/>
      <c r="G911"/>
      <c r="H911"/>
      <c r="I911"/>
      <c r="J911"/>
    </row>
    <row r="912" spans="2:10" ht="18" customHeight="1">
      <c r="B912"/>
      <c r="C912"/>
      <c r="D912"/>
      <c r="E912"/>
      <c r="F912"/>
      <c r="G912"/>
      <c r="H912"/>
      <c r="I912"/>
      <c r="J912"/>
    </row>
    <row r="913" spans="2:10" ht="18" customHeight="1">
      <c r="B913"/>
      <c r="C913"/>
      <c r="D913"/>
      <c r="E913"/>
      <c r="F913"/>
      <c r="G913"/>
      <c r="H913"/>
      <c r="I913"/>
      <c r="J913"/>
    </row>
    <row r="914" spans="2:10" ht="18" customHeight="1">
      <c r="B914"/>
      <c r="C914"/>
      <c r="D914"/>
      <c r="E914"/>
      <c r="F914"/>
      <c r="G914"/>
      <c r="H914"/>
      <c r="I914"/>
      <c r="J914"/>
    </row>
    <row r="915" spans="2:10" ht="18" customHeight="1">
      <c r="B915"/>
      <c r="C915"/>
      <c r="D915"/>
      <c r="E915"/>
      <c r="F915"/>
      <c r="G915"/>
      <c r="H915"/>
      <c r="I915"/>
      <c r="J915"/>
    </row>
    <row r="916" spans="2:10" ht="18" customHeight="1">
      <c r="B916"/>
      <c r="C916"/>
      <c r="D916"/>
      <c r="E916"/>
      <c r="F916"/>
      <c r="G916"/>
      <c r="H916"/>
      <c r="I916"/>
      <c r="J916"/>
    </row>
    <row r="917" spans="2:10" ht="18" customHeight="1">
      <c r="B917"/>
      <c r="C917"/>
      <c r="D917"/>
      <c r="E917"/>
      <c r="F917"/>
      <c r="G917"/>
      <c r="H917"/>
      <c r="I917"/>
      <c r="J917"/>
    </row>
    <row r="918" spans="2:10" ht="18" customHeight="1">
      <c r="B918"/>
      <c r="C918"/>
      <c r="D918"/>
      <c r="E918"/>
      <c r="F918"/>
      <c r="G918"/>
      <c r="H918"/>
      <c r="I918"/>
      <c r="J918"/>
    </row>
    <row r="919" spans="2:10" ht="18" customHeight="1">
      <c r="B919"/>
      <c r="C919"/>
      <c r="D919"/>
      <c r="E919"/>
      <c r="F919"/>
      <c r="G919"/>
      <c r="H919"/>
      <c r="I919"/>
      <c r="J919"/>
    </row>
    <row r="920" spans="2:10" ht="18" customHeight="1">
      <c r="B920"/>
      <c r="C920"/>
      <c r="D920"/>
      <c r="E920"/>
      <c r="F920"/>
      <c r="G920"/>
      <c r="H920"/>
      <c r="I920"/>
      <c r="J920"/>
    </row>
    <row r="921" spans="2:10" ht="18" customHeight="1">
      <c r="B921"/>
      <c r="C921"/>
      <c r="D921"/>
      <c r="E921"/>
      <c r="F921"/>
      <c r="G921"/>
      <c r="H921"/>
      <c r="I921"/>
      <c r="J921"/>
    </row>
    <row r="922" spans="2:10" ht="18" customHeight="1">
      <c r="B922"/>
      <c r="C922"/>
      <c r="D922"/>
      <c r="E922"/>
      <c r="F922"/>
      <c r="G922"/>
      <c r="H922"/>
      <c r="I922"/>
      <c r="J922"/>
    </row>
    <row r="923" spans="2:10" ht="18" customHeight="1">
      <c r="B923"/>
      <c r="C923"/>
      <c r="D923"/>
      <c r="E923"/>
      <c r="F923"/>
      <c r="G923"/>
      <c r="H923"/>
      <c r="I923"/>
      <c r="J923"/>
    </row>
    <row r="924" spans="2:10" ht="18" customHeight="1">
      <c r="B924"/>
      <c r="C924"/>
      <c r="D924"/>
      <c r="E924"/>
      <c r="F924"/>
      <c r="G924"/>
      <c r="H924"/>
      <c r="I924"/>
      <c r="J924"/>
    </row>
    <row r="925" spans="2:10" ht="18" customHeight="1">
      <c r="B925"/>
      <c r="C925"/>
      <c r="D925"/>
      <c r="E925"/>
      <c r="F925"/>
      <c r="G925"/>
      <c r="H925"/>
      <c r="I925"/>
      <c r="J925"/>
    </row>
    <row r="926" spans="2:10" ht="18" customHeight="1">
      <c r="B926"/>
      <c r="C926"/>
      <c r="D926"/>
      <c r="E926"/>
      <c r="F926"/>
      <c r="G926"/>
      <c r="H926"/>
      <c r="I926"/>
      <c r="J926"/>
    </row>
    <row r="927" spans="2:10" ht="18" customHeight="1">
      <c r="B927"/>
      <c r="C927"/>
      <c r="D927"/>
      <c r="E927"/>
      <c r="F927"/>
      <c r="G927"/>
      <c r="H927"/>
      <c r="I927"/>
      <c r="J927"/>
    </row>
    <row r="928" spans="2:10" ht="18" customHeight="1">
      <c r="B928"/>
      <c r="C928"/>
      <c r="D928"/>
      <c r="E928"/>
      <c r="F928"/>
      <c r="G928"/>
      <c r="H928"/>
      <c r="I928"/>
      <c r="J928"/>
    </row>
    <row r="929" spans="2:10" ht="18" customHeight="1">
      <c r="B929"/>
      <c r="C929"/>
      <c r="D929"/>
      <c r="E929"/>
      <c r="F929"/>
      <c r="G929"/>
      <c r="H929"/>
      <c r="I929"/>
      <c r="J929"/>
    </row>
    <row r="930" spans="2:10" ht="18" customHeight="1">
      <c r="B930"/>
      <c r="C930"/>
      <c r="D930"/>
      <c r="E930"/>
      <c r="F930"/>
      <c r="G930"/>
      <c r="H930"/>
      <c r="I930"/>
      <c r="J930"/>
    </row>
    <row r="931" spans="2:10" ht="18" customHeight="1">
      <c r="B931"/>
      <c r="C931"/>
      <c r="D931"/>
      <c r="E931"/>
      <c r="F931"/>
      <c r="G931"/>
      <c r="H931"/>
      <c r="I931"/>
      <c r="J931"/>
    </row>
    <row r="932" spans="2:10" ht="18" customHeight="1">
      <c r="B932"/>
      <c r="C932"/>
      <c r="D932"/>
      <c r="E932"/>
      <c r="F932"/>
      <c r="G932"/>
      <c r="H932"/>
      <c r="I932"/>
      <c r="J932"/>
    </row>
    <row r="933" spans="2:10" ht="18" customHeight="1">
      <c r="B933"/>
      <c r="C933"/>
      <c r="D933"/>
      <c r="E933"/>
      <c r="F933"/>
      <c r="G933"/>
      <c r="H933"/>
      <c r="I933"/>
      <c r="J933"/>
    </row>
    <row r="934" spans="2:10" ht="18" customHeight="1">
      <c r="B934"/>
      <c r="C934"/>
      <c r="D934"/>
      <c r="E934"/>
      <c r="F934"/>
      <c r="G934"/>
      <c r="H934"/>
      <c r="I934"/>
      <c r="J934"/>
    </row>
    <row r="935" spans="2:10" ht="18" customHeight="1">
      <c r="B935"/>
      <c r="C935"/>
      <c r="D935"/>
      <c r="E935"/>
      <c r="F935"/>
      <c r="G935"/>
      <c r="H935"/>
      <c r="I935"/>
      <c r="J935"/>
    </row>
    <row r="936" spans="2:10" ht="18" customHeight="1">
      <c r="B936"/>
      <c r="C936"/>
      <c r="D936"/>
      <c r="E936"/>
      <c r="F936"/>
      <c r="G936"/>
      <c r="H936"/>
      <c r="I936"/>
      <c r="J936"/>
    </row>
    <row r="937" spans="2:10" ht="18" customHeight="1">
      <c r="B937"/>
      <c r="C937"/>
      <c r="D937"/>
      <c r="E937"/>
      <c r="F937"/>
      <c r="G937"/>
      <c r="H937"/>
      <c r="I937"/>
      <c r="J937"/>
    </row>
    <row r="938" spans="2:10" ht="18" customHeight="1">
      <c r="B938"/>
      <c r="C938"/>
      <c r="D938"/>
      <c r="E938"/>
      <c r="F938"/>
      <c r="G938"/>
      <c r="H938"/>
      <c r="I938"/>
      <c r="J938"/>
    </row>
    <row r="939" spans="2:10" ht="18" customHeight="1">
      <c r="B939"/>
      <c r="C939"/>
      <c r="D939"/>
      <c r="E939"/>
      <c r="F939"/>
      <c r="G939"/>
      <c r="H939"/>
      <c r="I939"/>
      <c r="J939"/>
    </row>
    <row r="940" spans="2:10" ht="18" customHeight="1">
      <c r="B940"/>
      <c r="C940"/>
      <c r="D940"/>
      <c r="E940"/>
      <c r="F940"/>
      <c r="G940"/>
      <c r="H940"/>
      <c r="I940"/>
      <c r="J940"/>
    </row>
    <row r="941" spans="2:10" ht="18" customHeight="1">
      <c r="B941"/>
      <c r="C941"/>
      <c r="D941"/>
      <c r="E941"/>
      <c r="F941"/>
      <c r="G941"/>
      <c r="H941"/>
      <c r="I941"/>
      <c r="J941"/>
    </row>
    <row r="942" spans="2:10" ht="18" customHeight="1">
      <c r="B942"/>
      <c r="C942"/>
      <c r="D942"/>
      <c r="E942"/>
      <c r="F942"/>
      <c r="G942"/>
      <c r="H942"/>
      <c r="I942"/>
      <c r="J942"/>
    </row>
    <row r="943" spans="2:10" ht="18" customHeight="1">
      <c r="B943"/>
      <c r="C943"/>
      <c r="D943"/>
      <c r="E943"/>
      <c r="F943"/>
      <c r="G943"/>
      <c r="H943"/>
      <c r="I943"/>
      <c r="J943"/>
    </row>
    <row r="944" spans="2:10" ht="18" customHeight="1">
      <c r="B944"/>
      <c r="C944"/>
      <c r="D944"/>
      <c r="E944"/>
      <c r="F944"/>
      <c r="G944"/>
      <c r="H944"/>
      <c r="I944"/>
      <c r="J944"/>
    </row>
  </sheetData>
  <mergeCells count="740">
    <mergeCell ref="D525:F525"/>
    <mergeCell ref="D488:F488"/>
    <mergeCell ref="D120:F120"/>
    <mergeCell ref="D121:F121"/>
    <mergeCell ref="D122:F122"/>
    <mergeCell ref="D123:F123"/>
    <mergeCell ref="D124:F124"/>
    <mergeCell ref="D125:F125"/>
    <mergeCell ref="D126:F126"/>
    <mergeCell ref="D160:F160"/>
    <mergeCell ref="D147:F147"/>
    <mergeCell ref="D152:F152"/>
    <mergeCell ref="D153:F153"/>
    <mergeCell ref="D135:F135"/>
    <mergeCell ref="D136:F136"/>
    <mergeCell ref="D138:F138"/>
    <mergeCell ref="D351:F351"/>
    <mergeCell ref="D360:F360"/>
    <mergeCell ref="D422:F422"/>
    <mergeCell ref="D316:F316"/>
    <mergeCell ref="D317:F317"/>
    <mergeCell ref="D318:F318"/>
    <mergeCell ref="D407:F407"/>
    <mergeCell ref="D377:F377"/>
    <mergeCell ref="D543:F543"/>
    <mergeCell ref="D553:F553"/>
    <mergeCell ref="D554:F554"/>
    <mergeCell ref="D566:F566"/>
    <mergeCell ref="D567:F567"/>
    <mergeCell ref="D568:F568"/>
    <mergeCell ref="D559:F559"/>
    <mergeCell ref="D560:F560"/>
    <mergeCell ref="D527:F527"/>
    <mergeCell ref="D538:F538"/>
    <mergeCell ref="D539:F539"/>
    <mergeCell ref="D626:F626"/>
    <mergeCell ref="D624:F624"/>
    <mergeCell ref="D617:F617"/>
    <mergeCell ref="D623:F623"/>
    <mergeCell ref="D412:F412"/>
    <mergeCell ref="D417:F417"/>
    <mergeCell ref="G588:H588"/>
    <mergeCell ref="G607:H607"/>
    <mergeCell ref="G608:H608"/>
    <mergeCell ref="G611:H611"/>
    <mergeCell ref="D608:F608"/>
    <mergeCell ref="D609:F609"/>
    <mergeCell ref="D610:F610"/>
    <mergeCell ref="D611:F611"/>
    <mergeCell ref="D606:F606"/>
    <mergeCell ref="D605:F605"/>
    <mergeCell ref="D607:F607"/>
    <mergeCell ref="D588:F588"/>
    <mergeCell ref="D604:F604"/>
    <mergeCell ref="D578:F578"/>
    <mergeCell ref="D579:F579"/>
    <mergeCell ref="D581:F581"/>
    <mergeCell ref="D614:F614"/>
    <mergeCell ref="D537:F537"/>
    <mergeCell ref="D399:F399"/>
    <mergeCell ref="D418:F418"/>
    <mergeCell ref="D406:F406"/>
    <mergeCell ref="D389:F389"/>
    <mergeCell ref="D386:F386"/>
    <mergeCell ref="D346:F346"/>
    <mergeCell ref="D405:F405"/>
    <mergeCell ref="D410:F410"/>
    <mergeCell ref="D395:F395"/>
    <mergeCell ref="D402:F402"/>
    <mergeCell ref="D401:F401"/>
    <mergeCell ref="D415:F415"/>
    <mergeCell ref="D416:F416"/>
    <mergeCell ref="D369:F369"/>
    <mergeCell ref="D370:F370"/>
    <mergeCell ref="D371:F371"/>
    <mergeCell ref="D372:F372"/>
    <mergeCell ref="D391:F391"/>
    <mergeCell ref="D392:F392"/>
    <mergeCell ref="D393:F393"/>
    <mergeCell ref="D398:F398"/>
    <mergeCell ref="D400:F400"/>
    <mergeCell ref="B95:J95"/>
    <mergeCell ref="B96:J96"/>
    <mergeCell ref="G113:H113"/>
    <mergeCell ref="D78:F78"/>
    <mergeCell ref="D72:F72"/>
    <mergeCell ref="G68:H69"/>
    <mergeCell ref="D81:F81"/>
    <mergeCell ref="D411:F411"/>
    <mergeCell ref="D409:F409"/>
    <mergeCell ref="D304:F304"/>
    <mergeCell ref="D323:F323"/>
    <mergeCell ref="D331:F331"/>
    <mergeCell ref="D309:F309"/>
    <mergeCell ref="D379:F379"/>
    <mergeCell ref="D362:F362"/>
    <mergeCell ref="D311:F311"/>
    <mergeCell ref="D305:F305"/>
    <mergeCell ref="D313:F313"/>
    <mergeCell ref="D315:F315"/>
    <mergeCell ref="D310:F310"/>
    <mergeCell ref="D312:F312"/>
    <mergeCell ref="D319:F319"/>
    <mergeCell ref="D320:F320"/>
    <mergeCell ref="D128:F128"/>
    <mergeCell ref="H88:J88"/>
    <mergeCell ref="C68:C69"/>
    <mergeCell ref="G86:H86"/>
    <mergeCell ref="D86:F86"/>
    <mergeCell ref="D83:F83"/>
    <mergeCell ref="D68:F69"/>
    <mergeCell ref="D73:F73"/>
    <mergeCell ref="D74:F74"/>
    <mergeCell ref="D71:F71"/>
    <mergeCell ref="G72:H72"/>
    <mergeCell ref="D70:F70"/>
    <mergeCell ref="G75:H75"/>
    <mergeCell ref="D79:F79"/>
    <mergeCell ref="D75:F75"/>
    <mergeCell ref="D76:F76"/>
    <mergeCell ref="D77:F77"/>
    <mergeCell ref="D82:F82"/>
    <mergeCell ref="H93:J93"/>
    <mergeCell ref="B57:J57"/>
    <mergeCell ref="D269:F269"/>
    <mergeCell ref="D251:F251"/>
    <mergeCell ref="D253:F253"/>
    <mergeCell ref="D254:F254"/>
    <mergeCell ref="D255:F255"/>
    <mergeCell ref="D256:F256"/>
    <mergeCell ref="D257:F257"/>
    <mergeCell ref="D84:F84"/>
    <mergeCell ref="D85:F85"/>
    <mergeCell ref="D220:F220"/>
    <mergeCell ref="C106:C107"/>
    <mergeCell ref="D195:F196"/>
    <mergeCell ref="D89:F89"/>
    <mergeCell ref="B186:J186"/>
    <mergeCell ref="D80:F80"/>
    <mergeCell ref="D221:F221"/>
    <mergeCell ref="D119:F119"/>
    <mergeCell ref="G70:H70"/>
    <mergeCell ref="G197:H197"/>
    <mergeCell ref="B58:J58"/>
    <mergeCell ref="B59:J59"/>
    <mergeCell ref="H87:J87"/>
    <mergeCell ref="B237:J237"/>
    <mergeCell ref="D268:F268"/>
    <mergeCell ref="D321:F321"/>
    <mergeCell ref="D322:F322"/>
    <mergeCell ref="D334:F334"/>
    <mergeCell ref="G317:H317"/>
    <mergeCell ref="D329:F329"/>
    <mergeCell ref="D290:F290"/>
    <mergeCell ref="D296:F296"/>
    <mergeCell ref="D328:F328"/>
    <mergeCell ref="D270:F270"/>
    <mergeCell ref="D267:F267"/>
    <mergeCell ref="G313:H313"/>
    <mergeCell ref="G314:H314"/>
    <mergeCell ref="D278:F278"/>
    <mergeCell ref="D291:F291"/>
    <mergeCell ref="D292:F292"/>
    <mergeCell ref="D293:F293"/>
    <mergeCell ref="D294:F294"/>
    <mergeCell ref="D295:F295"/>
    <mergeCell ref="D286:F286"/>
    <mergeCell ref="D279:F279"/>
    <mergeCell ref="G286:H286"/>
    <mergeCell ref="D287:F287"/>
    <mergeCell ref="D428:F428"/>
    <mergeCell ref="D435:F435"/>
    <mergeCell ref="D106:F107"/>
    <mergeCell ref="G106:H107"/>
    <mergeCell ref="G108:H108"/>
    <mergeCell ref="D109:F109"/>
    <mergeCell ref="D110:F110"/>
    <mergeCell ref="G110:H110"/>
    <mergeCell ref="D408:F408"/>
    <mergeCell ref="G195:H196"/>
    <mergeCell ref="D197:F197"/>
    <mergeCell ref="G402:H402"/>
    <mergeCell ref="D307:F307"/>
    <mergeCell ref="D308:F308"/>
    <mergeCell ref="D252:F252"/>
    <mergeCell ref="D205:F205"/>
    <mergeCell ref="D215:F215"/>
    <mergeCell ref="D227:F227"/>
    <mergeCell ref="D330:F330"/>
    <mergeCell ref="D332:F332"/>
    <mergeCell ref="D333:F333"/>
    <mergeCell ref="D111:F111"/>
    <mergeCell ref="D130:F130"/>
    <mergeCell ref="D131:F131"/>
    <mergeCell ref="D430:F430"/>
    <mergeCell ref="D442:F442"/>
    <mergeCell ref="D443:F443"/>
    <mergeCell ref="D444:F444"/>
    <mergeCell ref="D438:F438"/>
    <mergeCell ref="D439:F439"/>
    <mergeCell ref="D440:F440"/>
    <mergeCell ref="D441:F441"/>
    <mergeCell ref="D431:F431"/>
    <mergeCell ref="D436:F436"/>
    <mergeCell ref="D437:F437"/>
    <mergeCell ref="D432:F432"/>
    <mergeCell ref="D433:F433"/>
    <mergeCell ref="D434:F434"/>
    <mergeCell ref="D737:F737"/>
    <mergeCell ref="D740:F740"/>
    <mergeCell ref="D530:F530"/>
    <mergeCell ref="D531:F531"/>
    <mergeCell ref="D532:F532"/>
    <mergeCell ref="D680:F680"/>
    <mergeCell ref="D630:F630"/>
    <mergeCell ref="D555:F555"/>
    <mergeCell ref="D556:F556"/>
    <mergeCell ref="D557:F557"/>
    <mergeCell ref="D558:F558"/>
    <mergeCell ref="D672:F672"/>
    <mergeCell ref="D673:F673"/>
    <mergeCell ref="D674:F674"/>
    <mergeCell ref="D727:F727"/>
    <mergeCell ref="D600:F600"/>
    <mergeCell ref="D612:F612"/>
    <mergeCell ref="D615:F615"/>
    <mergeCell ref="D616:F616"/>
    <mergeCell ref="D582:F582"/>
    <mergeCell ref="D594:F594"/>
    <mergeCell ref="D534:F534"/>
    <mergeCell ref="D535:F535"/>
    <mergeCell ref="D536:F536"/>
    <mergeCell ref="D627:F627"/>
    <mergeCell ref="D690:F690"/>
    <mergeCell ref="D688:F688"/>
    <mergeCell ref="D689:F689"/>
    <mergeCell ref="D685:F685"/>
    <mergeCell ref="D687:F687"/>
    <mergeCell ref="D631:F631"/>
    <mergeCell ref="D632:F632"/>
    <mergeCell ref="D637:F637"/>
    <mergeCell ref="D636:F636"/>
    <mergeCell ref="D628:F628"/>
    <mergeCell ref="D647:F647"/>
    <mergeCell ref="D629:F629"/>
    <mergeCell ref="D671:F671"/>
    <mergeCell ref="D476:F476"/>
    <mergeCell ref="D453:F453"/>
    <mergeCell ref="D463:F463"/>
    <mergeCell ref="D464:F464"/>
    <mergeCell ref="D469:F469"/>
    <mergeCell ref="D470:F470"/>
    <mergeCell ref="D471:F471"/>
    <mergeCell ref="D465:F465"/>
    <mergeCell ref="D468:F468"/>
    <mergeCell ref="D496:F496"/>
    <mergeCell ref="D510:F510"/>
    <mergeCell ref="D511:F511"/>
    <mergeCell ref="D512:F512"/>
    <mergeCell ref="D497:F497"/>
    <mergeCell ref="D498:F498"/>
    <mergeCell ref="D501:F501"/>
    <mergeCell ref="D502:F502"/>
    <mergeCell ref="D451:F451"/>
    <mergeCell ref="D458:F458"/>
    <mergeCell ref="D462:F462"/>
    <mergeCell ref="D461:F461"/>
    <mergeCell ref="D466:F466"/>
    <mergeCell ref="D467:F467"/>
    <mergeCell ref="D459:F459"/>
    <mergeCell ref="D460:F460"/>
    <mergeCell ref="D452:F452"/>
    <mergeCell ref="D454:F454"/>
    <mergeCell ref="D455:F455"/>
    <mergeCell ref="D456:F456"/>
    <mergeCell ref="D457:F457"/>
    <mergeCell ref="D473:F473"/>
    <mergeCell ref="D474:F474"/>
    <mergeCell ref="D475:F475"/>
    <mergeCell ref="D625:F625"/>
    <mergeCell ref="D542:F542"/>
    <mergeCell ref="D541:F541"/>
    <mergeCell ref="D584:F584"/>
    <mergeCell ref="D589:F589"/>
    <mergeCell ref="D590:F590"/>
    <mergeCell ref="D591:F591"/>
    <mergeCell ref="D592:F592"/>
    <mergeCell ref="D540:F540"/>
    <mergeCell ref="D561:F561"/>
    <mergeCell ref="D563:F563"/>
    <mergeCell ref="D562:F562"/>
    <mergeCell ref="D564:F564"/>
    <mergeCell ref="D565:F565"/>
    <mergeCell ref="D593:F593"/>
    <mergeCell ref="D601:F601"/>
    <mergeCell ref="D569:F569"/>
    <mergeCell ref="D544:F544"/>
    <mergeCell ref="D602:F602"/>
    <mergeCell ref="D603:F603"/>
    <mergeCell ref="D580:F580"/>
    <mergeCell ref="D585:F585"/>
    <mergeCell ref="D586:F586"/>
    <mergeCell ref="D587:F587"/>
    <mergeCell ref="E62:I62"/>
    <mergeCell ref="B184:J184"/>
    <mergeCell ref="B185:J185"/>
    <mergeCell ref="D250:F250"/>
    <mergeCell ref="C195:C196"/>
    <mergeCell ref="H228:J228"/>
    <mergeCell ref="H229:J229"/>
    <mergeCell ref="D230:F230"/>
    <mergeCell ref="H234:J234"/>
    <mergeCell ref="D117:F117"/>
    <mergeCell ref="D118:F118"/>
    <mergeCell ref="B236:J236"/>
    <mergeCell ref="E241:I241"/>
    <mergeCell ref="C247:C248"/>
    <mergeCell ref="D247:F248"/>
    <mergeCell ref="G247:H248"/>
    <mergeCell ref="D198:F198"/>
    <mergeCell ref="B97:J97"/>
    <mergeCell ref="E100:I100"/>
    <mergeCell ref="B238:J238"/>
    <mergeCell ref="H177:J177"/>
    <mergeCell ref="H182:J182"/>
    <mergeCell ref="D127:F127"/>
    <mergeCell ref="D134:F134"/>
    <mergeCell ref="D303:F303"/>
    <mergeCell ref="G290:H290"/>
    <mergeCell ref="G287:H287"/>
    <mergeCell ref="D288:F288"/>
    <mergeCell ref="D289:F289"/>
    <mergeCell ref="D108:F108"/>
    <mergeCell ref="D148:F148"/>
    <mergeCell ref="D149:F149"/>
    <mergeCell ref="G149:H149"/>
    <mergeCell ref="D150:F150"/>
    <mergeCell ref="G150:H150"/>
    <mergeCell ref="D151:F151"/>
    <mergeCell ref="D139:F139"/>
    <mergeCell ref="D140:F140"/>
    <mergeCell ref="D141:F141"/>
    <mergeCell ref="D142:F142"/>
    <mergeCell ref="D143:F143"/>
    <mergeCell ref="D144:F144"/>
    <mergeCell ref="D145:F145"/>
    <mergeCell ref="D146:F146"/>
    <mergeCell ref="D137:F137"/>
    <mergeCell ref="D129:F129"/>
    <mergeCell ref="D112:F112"/>
    <mergeCell ref="D113:F113"/>
    <mergeCell ref="D132:F132"/>
    <mergeCell ref="D133:F133"/>
    <mergeCell ref="D114:F114"/>
    <mergeCell ref="G153:H153"/>
    <mergeCell ref="D154:F154"/>
    <mergeCell ref="D155:F155"/>
    <mergeCell ref="D156:F156"/>
    <mergeCell ref="D115:F115"/>
    <mergeCell ref="D116:F116"/>
    <mergeCell ref="D157:F157"/>
    <mergeCell ref="D158:F158"/>
    <mergeCell ref="D162:F162"/>
    <mergeCell ref="D163:F163"/>
    <mergeCell ref="G202:H202"/>
    <mergeCell ref="G175:H175"/>
    <mergeCell ref="H176:J176"/>
    <mergeCell ref="D173:F173"/>
    <mergeCell ref="D175:F175"/>
    <mergeCell ref="D199:F199"/>
    <mergeCell ref="D200:F200"/>
    <mergeCell ref="D201:F201"/>
    <mergeCell ref="D202:F202"/>
    <mergeCell ref="D164:F164"/>
    <mergeCell ref="D159:F159"/>
    <mergeCell ref="D165:F165"/>
    <mergeCell ref="D166:F166"/>
    <mergeCell ref="D167:F167"/>
    <mergeCell ref="D168:F168"/>
    <mergeCell ref="D169:F169"/>
    <mergeCell ref="D170:F170"/>
    <mergeCell ref="D171:F171"/>
    <mergeCell ref="D161:F161"/>
    <mergeCell ref="D172:F172"/>
    <mergeCell ref="G227:H227"/>
    <mergeCell ref="E189:I189"/>
    <mergeCell ref="D206:F206"/>
    <mergeCell ref="D207:F207"/>
    <mergeCell ref="D208:F208"/>
    <mergeCell ref="D214:F214"/>
    <mergeCell ref="G198:H198"/>
    <mergeCell ref="D222:F222"/>
    <mergeCell ref="D216:F216"/>
    <mergeCell ref="D217:F217"/>
    <mergeCell ref="D218:F218"/>
    <mergeCell ref="D209:F209"/>
    <mergeCell ref="D210:F210"/>
    <mergeCell ref="D211:F211"/>
    <mergeCell ref="D212:F212"/>
    <mergeCell ref="D213:F213"/>
    <mergeCell ref="D203:F203"/>
    <mergeCell ref="D204:F204"/>
    <mergeCell ref="D249:F249"/>
    <mergeCell ref="G249:H249"/>
    <mergeCell ref="G254:H254"/>
    <mergeCell ref="D280:F280"/>
    <mergeCell ref="D281:F281"/>
    <mergeCell ref="D282:F282"/>
    <mergeCell ref="D283:F283"/>
    <mergeCell ref="D284:F284"/>
    <mergeCell ref="D285:F285"/>
    <mergeCell ref="D258:F258"/>
    <mergeCell ref="D259:F259"/>
    <mergeCell ref="D260:F260"/>
    <mergeCell ref="D261:F261"/>
    <mergeCell ref="D262:F262"/>
    <mergeCell ref="D263:F263"/>
    <mergeCell ref="D264:F264"/>
    <mergeCell ref="D265:F265"/>
    <mergeCell ref="D266:F266"/>
    <mergeCell ref="G250:H250"/>
    <mergeCell ref="G251:H251"/>
    <mergeCell ref="D271:F271"/>
    <mergeCell ref="D272:F272"/>
    <mergeCell ref="D273:F273"/>
    <mergeCell ref="D274:F274"/>
    <mergeCell ref="G462:H462"/>
    <mergeCell ref="G463:H463"/>
    <mergeCell ref="G466:H466"/>
    <mergeCell ref="G447:H447"/>
    <mergeCell ref="D448:F448"/>
    <mergeCell ref="D378:F378"/>
    <mergeCell ref="G336:H336"/>
    <mergeCell ref="D337:F337"/>
    <mergeCell ref="G337:H337"/>
    <mergeCell ref="D338:F338"/>
    <mergeCell ref="D339:F339"/>
    <mergeCell ref="D340:F340"/>
    <mergeCell ref="G340:H340"/>
    <mergeCell ref="D341:F341"/>
    <mergeCell ref="D342:F342"/>
    <mergeCell ref="D385:F385"/>
    <mergeCell ref="D366:F366"/>
    <mergeCell ref="D373:F373"/>
    <mergeCell ref="D374:F374"/>
    <mergeCell ref="D375:F375"/>
    <mergeCell ref="D363:F363"/>
    <mergeCell ref="D364:F364"/>
    <mergeCell ref="D382:F382"/>
    <mergeCell ref="D447:F447"/>
    <mergeCell ref="G356:H356"/>
    <mergeCell ref="G357:H357"/>
    <mergeCell ref="G360:H360"/>
    <mergeCell ref="G380:H380"/>
    <mergeCell ref="G381:H381"/>
    <mergeCell ref="G384:H384"/>
    <mergeCell ref="D396:F396"/>
    <mergeCell ref="D397:F397"/>
    <mergeCell ref="D383:F383"/>
    <mergeCell ref="D384:F384"/>
    <mergeCell ref="D390:F390"/>
    <mergeCell ref="D388:F388"/>
    <mergeCell ref="D387:F387"/>
    <mergeCell ref="D359:F359"/>
    <mergeCell ref="D356:F356"/>
    <mergeCell ref="D357:F357"/>
    <mergeCell ref="D376:F376"/>
    <mergeCell ref="D358:F358"/>
    <mergeCell ref="D365:F365"/>
    <mergeCell ref="D381:F381"/>
    <mergeCell ref="D380:F380"/>
    <mergeCell ref="D361:F361"/>
    <mergeCell ref="D367:F367"/>
    <mergeCell ref="D368:F368"/>
    <mergeCell ref="G403:H403"/>
    <mergeCell ref="G406:H406"/>
    <mergeCell ref="G422:H422"/>
    <mergeCell ref="D483:F483"/>
    <mergeCell ref="D484:F484"/>
    <mergeCell ref="D485:F485"/>
    <mergeCell ref="G485:H485"/>
    <mergeCell ref="D486:F486"/>
    <mergeCell ref="D487:F487"/>
    <mergeCell ref="D472:F472"/>
    <mergeCell ref="D477:F477"/>
    <mergeCell ref="D478:F478"/>
    <mergeCell ref="D479:F479"/>
    <mergeCell ref="D480:F480"/>
    <mergeCell ref="D481:F481"/>
    <mergeCell ref="G481:H481"/>
    <mergeCell ref="D482:F482"/>
    <mergeCell ref="G482:H482"/>
    <mergeCell ref="G444:H444"/>
    <mergeCell ref="D445:F445"/>
    <mergeCell ref="D446:F446"/>
    <mergeCell ref="D427:F427"/>
    <mergeCell ref="G425:H425"/>
    <mergeCell ref="D449:F449"/>
    <mergeCell ref="D526:F526"/>
    <mergeCell ref="D528:F528"/>
    <mergeCell ref="D529:F529"/>
    <mergeCell ref="G667:H668"/>
    <mergeCell ref="D490:F490"/>
    <mergeCell ref="G507:H507"/>
    <mergeCell ref="G508:H508"/>
    <mergeCell ref="G511:H511"/>
    <mergeCell ref="G533:H533"/>
    <mergeCell ref="G534:I534"/>
    <mergeCell ref="G537:H537"/>
    <mergeCell ref="G560:H560"/>
    <mergeCell ref="G561:H561"/>
    <mergeCell ref="G564:H564"/>
    <mergeCell ref="G584:H584"/>
    <mergeCell ref="G585:H585"/>
    <mergeCell ref="G628:H628"/>
    <mergeCell ref="D545:F545"/>
    <mergeCell ref="D546:F546"/>
    <mergeCell ref="D533:F533"/>
    <mergeCell ref="D570:F570"/>
    <mergeCell ref="D577:F577"/>
    <mergeCell ref="D638:F638"/>
    <mergeCell ref="D643:F643"/>
    <mergeCell ref="G629:H629"/>
    <mergeCell ref="G632:H632"/>
    <mergeCell ref="G647:H647"/>
    <mergeCell ref="H648:J648"/>
    <mergeCell ref="H649:J649"/>
    <mergeCell ref="H654:J654"/>
    <mergeCell ref="B656:J656"/>
    <mergeCell ref="B657:J657"/>
    <mergeCell ref="D633:F633"/>
    <mergeCell ref="D635:F635"/>
    <mergeCell ref="D640:F640"/>
    <mergeCell ref="D641:F641"/>
    <mergeCell ref="D642:F642"/>
    <mergeCell ref="D644:F644"/>
    <mergeCell ref="D645:F645"/>
    <mergeCell ref="D646:F646"/>
    <mergeCell ref="D634:F634"/>
    <mergeCell ref="G723:H723"/>
    <mergeCell ref="G726:H726"/>
    <mergeCell ref="H701:J701"/>
    <mergeCell ref="H706:J706"/>
    <mergeCell ref="D722:F722"/>
    <mergeCell ref="G675:H675"/>
    <mergeCell ref="D691:F691"/>
    <mergeCell ref="D692:F692"/>
    <mergeCell ref="D693:F693"/>
    <mergeCell ref="D694:F694"/>
    <mergeCell ref="D695:F695"/>
    <mergeCell ref="D696:F696"/>
    <mergeCell ref="D697:F697"/>
    <mergeCell ref="D698:F698"/>
    <mergeCell ref="G721:H721"/>
    <mergeCell ref="D679:F679"/>
    <mergeCell ref="D678:F678"/>
    <mergeCell ref="D677:F677"/>
    <mergeCell ref="D676:F676"/>
    <mergeCell ref="D723:F723"/>
    <mergeCell ref="D724:F724"/>
    <mergeCell ref="D699:F699"/>
    <mergeCell ref="D675:F675"/>
    <mergeCell ref="D721:F721"/>
    <mergeCell ref="H744:J744"/>
    <mergeCell ref="H749:J749"/>
    <mergeCell ref="G669:H669"/>
    <mergeCell ref="G671:H671"/>
    <mergeCell ref="D681:F681"/>
    <mergeCell ref="D682:F682"/>
    <mergeCell ref="D683:F683"/>
    <mergeCell ref="D684:F684"/>
    <mergeCell ref="D686:F686"/>
    <mergeCell ref="B708:J708"/>
    <mergeCell ref="B709:J709"/>
    <mergeCell ref="B710:J710"/>
    <mergeCell ref="E713:I713"/>
    <mergeCell ref="C719:C720"/>
    <mergeCell ref="G719:H720"/>
    <mergeCell ref="D725:F725"/>
    <mergeCell ref="D726:F726"/>
    <mergeCell ref="D741:F741"/>
    <mergeCell ref="D732:F732"/>
    <mergeCell ref="D738:F738"/>
    <mergeCell ref="D742:F742"/>
    <mergeCell ref="D739:F739"/>
    <mergeCell ref="G699:H699"/>
    <mergeCell ref="H700:J700"/>
    <mergeCell ref="B1:J1"/>
    <mergeCell ref="B2:J2"/>
    <mergeCell ref="B3:J3"/>
    <mergeCell ref="C12:C13"/>
    <mergeCell ref="D12:F13"/>
    <mergeCell ref="G12:H13"/>
    <mergeCell ref="D14:F14"/>
    <mergeCell ref="G14:H14"/>
    <mergeCell ref="D15:F15"/>
    <mergeCell ref="G15:H15"/>
    <mergeCell ref="D22:F22"/>
    <mergeCell ref="D23:F23"/>
    <mergeCell ref="D24:F24"/>
    <mergeCell ref="D16:F16"/>
    <mergeCell ref="D17:F17"/>
    <mergeCell ref="D18:F18"/>
    <mergeCell ref="D19:F19"/>
    <mergeCell ref="D20:F20"/>
    <mergeCell ref="D21:F21"/>
    <mergeCell ref="D37:F37"/>
    <mergeCell ref="D47:F47"/>
    <mergeCell ref="D48:F48"/>
    <mergeCell ref="D25:F25"/>
    <mergeCell ref="D26:F26"/>
    <mergeCell ref="D27:F27"/>
    <mergeCell ref="D28:F28"/>
    <mergeCell ref="D29:F29"/>
    <mergeCell ref="D30:F30"/>
    <mergeCell ref="D32:F32"/>
    <mergeCell ref="D34:F34"/>
    <mergeCell ref="D35:F35"/>
    <mergeCell ref="D36:F36"/>
    <mergeCell ref="D31:F31"/>
    <mergeCell ref="G48:H48"/>
    <mergeCell ref="H49:J49"/>
    <mergeCell ref="D51:F51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D275:F275"/>
    <mergeCell ref="D276:F276"/>
    <mergeCell ref="D277:F277"/>
    <mergeCell ref="D297:F297"/>
    <mergeCell ref="D298:F298"/>
    <mergeCell ref="D299:F299"/>
    <mergeCell ref="D300:F300"/>
    <mergeCell ref="D301:F301"/>
    <mergeCell ref="D302:F302"/>
    <mergeCell ref="D324:F324"/>
    <mergeCell ref="D325:F325"/>
    <mergeCell ref="D326:F326"/>
    <mergeCell ref="D327:F327"/>
    <mergeCell ref="D314:F314"/>
    <mergeCell ref="D306:F306"/>
    <mergeCell ref="D394:F394"/>
    <mergeCell ref="D413:F413"/>
    <mergeCell ref="D414:F414"/>
    <mergeCell ref="D335:F335"/>
    <mergeCell ref="D336:F336"/>
    <mergeCell ref="D343:F343"/>
    <mergeCell ref="D344:F344"/>
    <mergeCell ref="D345:F345"/>
    <mergeCell ref="D352:F352"/>
    <mergeCell ref="D354:F354"/>
    <mergeCell ref="D355:F355"/>
    <mergeCell ref="D353:F353"/>
    <mergeCell ref="D403:F403"/>
    <mergeCell ref="D404:F404"/>
    <mergeCell ref="D347:F347"/>
    <mergeCell ref="D348:F348"/>
    <mergeCell ref="D349:F349"/>
    <mergeCell ref="D350:F350"/>
    <mergeCell ref="D429:F429"/>
    <mergeCell ref="D419:F419"/>
    <mergeCell ref="D423:F423"/>
    <mergeCell ref="D425:F425"/>
    <mergeCell ref="D426:F426"/>
    <mergeCell ref="D420:F420"/>
    <mergeCell ref="D421:F421"/>
    <mergeCell ref="D424:F424"/>
    <mergeCell ref="D518:F518"/>
    <mergeCell ref="D450:F450"/>
    <mergeCell ref="D489:F489"/>
    <mergeCell ref="D491:F491"/>
    <mergeCell ref="D499:F499"/>
    <mergeCell ref="D500:F500"/>
    <mergeCell ref="D514:F514"/>
    <mergeCell ref="D515:F515"/>
    <mergeCell ref="D507:F507"/>
    <mergeCell ref="D505:F505"/>
    <mergeCell ref="D506:F506"/>
    <mergeCell ref="D504:F504"/>
    <mergeCell ref="D492:F492"/>
    <mergeCell ref="D493:F493"/>
    <mergeCell ref="D494:F494"/>
    <mergeCell ref="D495:F495"/>
    <mergeCell ref="D519:F519"/>
    <mergeCell ref="D520:F520"/>
    <mergeCell ref="D521:F521"/>
    <mergeCell ref="D522:F522"/>
    <mergeCell ref="D523:F523"/>
    <mergeCell ref="D524:F524"/>
    <mergeCell ref="D509:F509"/>
    <mergeCell ref="D503:F503"/>
    <mergeCell ref="D508:F508"/>
    <mergeCell ref="D513:F513"/>
    <mergeCell ref="D516:F516"/>
    <mergeCell ref="D517:F517"/>
    <mergeCell ref="D574:F574"/>
    <mergeCell ref="D575:F575"/>
    <mergeCell ref="D576:F576"/>
    <mergeCell ref="D595:F595"/>
    <mergeCell ref="D596:F596"/>
    <mergeCell ref="D547:F547"/>
    <mergeCell ref="D548:F548"/>
    <mergeCell ref="D549:F549"/>
    <mergeCell ref="D550:F550"/>
    <mergeCell ref="D551:F551"/>
    <mergeCell ref="D552:F552"/>
    <mergeCell ref="D571:F571"/>
    <mergeCell ref="D572:F572"/>
    <mergeCell ref="D573:F573"/>
    <mergeCell ref="D583:F583"/>
    <mergeCell ref="D733:F733"/>
    <mergeCell ref="D734:F734"/>
    <mergeCell ref="D735:F735"/>
    <mergeCell ref="D736:F736"/>
    <mergeCell ref="D597:F597"/>
    <mergeCell ref="D598:F598"/>
    <mergeCell ref="D599:F599"/>
    <mergeCell ref="D618:F618"/>
    <mergeCell ref="D619:F619"/>
    <mergeCell ref="D620:F620"/>
    <mergeCell ref="D621:F621"/>
    <mergeCell ref="D622:F622"/>
    <mergeCell ref="D639:F639"/>
    <mergeCell ref="D728:F728"/>
    <mergeCell ref="D729:F729"/>
    <mergeCell ref="D730:F730"/>
    <mergeCell ref="D731:F731"/>
    <mergeCell ref="D669:F669"/>
    <mergeCell ref="D670:F670"/>
    <mergeCell ref="B658:J658"/>
    <mergeCell ref="E661:I661"/>
    <mergeCell ref="C667:C668"/>
    <mergeCell ref="D667:F668"/>
    <mergeCell ref="D613:F613"/>
  </mergeCells>
  <pageMargins left="0.95" right="0.45" top="0.5" bottom="0.5" header="0.3" footer="0.3"/>
  <pageSetup paperSize="256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2060"/>
  </sheetPr>
  <dimension ref="B2:M419"/>
  <sheetViews>
    <sheetView topLeftCell="A289" workbookViewId="0">
      <selection activeCell="H150" sqref="H150"/>
    </sheetView>
  </sheetViews>
  <sheetFormatPr defaultRowHeight="12"/>
  <cols>
    <col min="1" max="1" width="1.5703125" style="250" customWidth="1"/>
    <col min="2" max="2" width="2.28515625" style="250" customWidth="1"/>
    <col min="3" max="3" width="7.28515625" style="250" customWidth="1"/>
    <col min="4" max="4" width="27.28515625" style="250" customWidth="1"/>
    <col min="5" max="5" width="8.42578125" style="250" customWidth="1"/>
    <col min="6" max="6" width="10.42578125" style="250" customWidth="1"/>
    <col min="7" max="7" width="11.7109375" style="250" customWidth="1"/>
    <col min="8" max="8" width="12.5703125" style="250" customWidth="1"/>
    <col min="9" max="9" width="9.140625" style="400"/>
    <col min="10" max="16384" width="9.140625" style="250"/>
  </cols>
  <sheetData>
    <row r="2" spans="2:13">
      <c r="B2" s="824" t="s">
        <v>54</v>
      </c>
      <c r="C2" s="824"/>
      <c r="D2" s="824"/>
      <c r="E2" s="824"/>
      <c r="F2" s="824"/>
      <c r="G2" s="824"/>
      <c r="H2" s="824"/>
    </row>
    <row r="3" spans="2:13">
      <c r="B3" s="824" t="s">
        <v>55</v>
      </c>
      <c r="C3" s="824"/>
      <c r="D3" s="824"/>
      <c r="E3" s="824"/>
      <c r="F3" s="824"/>
      <c r="G3" s="824"/>
      <c r="H3" s="824"/>
    </row>
    <row r="4" spans="2:13">
      <c r="B4" s="824" t="s">
        <v>914</v>
      </c>
      <c r="C4" s="824"/>
      <c r="D4" s="824"/>
      <c r="E4" s="824"/>
      <c r="F4" s="824"/>
      <c r="G4" s="824"/>
      <c r="H4" s="824"/>
    </row>
    <row r="5" spans="2:13">
      <c r="B5" s="249"/>
      <c r="C5" s="78"/>
      <c r="D5" s="249"/>
      <c r="E5" s="548"/>
      <c r="F5" s="548"/>
      <c r="G5" s="249"/>
      <c r="H5" s="249"/>
    </row>
    <row r="6" spans="2:13">
      <c r="B6" s="567">
        <v>1</v>
      </c>
      <c r="C6" s="954" t="s">
        <v>172</v>
      </c>
      <c r="D6" s="954"/>
      <c r="E6" s="250" t="s">
        <v>204</v>
      </c>
      <c r="H6" s="249"/>
    </row>
    <row r="7" spans="2:13">
      <c r="B7" s="567">
        <v>2</v>
      </c>
      <c r="C7" s="955" t="s">
        <v>173</v>
      </c>
      <c r="D7" s="955"/>
      <c r="E7" s="568" t="s">
        <v>413</v>
      </c>
      <c r="H7" s="249"/>
    </row>
    <row r="8" spans="2:13">
      <c r="B8" s="567">
        <v>3</v>
      </c>
      <c r="C8" s="954" t="s">
        <v>174</v>
      </c>
      <c r="D8" s="954"/>
      <c r="E8" s="250" t="s">
        <v>925</v>
      </c>
      <c r="H8" s="249"/>
    </row>
    <row r="9" spans="2:13">
      <c r="B9" s="567">
        <v>4</v>
      </c>
      <c r="C9" s="569" t="s">
        <v>183</v>
      </c>
      <c r="D9" s="569"/>
      <c r="E9" s="250" t="s">
        <v>971</v>
      </c>
      <c r="F9" s="400">
        <v>10210000</v>
      </c>
      <c r="H9" s="631"/>
    </row>
    <row r="10" spans="2:13">
      <c r="B10" s="567"/>
      <c r="C10" s="619"/>
      <c r="D10" s="619"/>
      <c r="E10" s="250" t="s">
        <v>472</v>
      </c>
      <c r="F10" s="400">
        <v>352000</v>
      </c>
      <c r="H10" s="631"/>
    </row>
    <row r="11" spans="2:13">
      <c r="B11" s="567">
        <v>5</v>
      </c>
      <c r="C11" s="569" t="s">
        <v>184</v>
      </c>
      <c r="D11" s="569"/>
      <c r="E11" s="250" t="s">
        <v>222</v>
      </c>
      <c r="F11" s="630">
        <f>H17</f>
        <v>10562000</v>
      </c>
      <c r="H11" s="249"/>
    </row>
    <row r="12" spans="2:13">
      <c r="B12" s="567"/>
      <c r="C12" s="569" t="s">
        <v>194</v>
      </c>
      <c r="D12" s="569"/>
      <c r="H12" s="249"/>
    </row>
    <row r="13" spans="2:13" ht="24">
      <c r="B13" s="249"/>
      <c r="C13" s="827" t="s">
        <v>56</v>
      </c>
      <c r="D13" s="956" t="s">
        <v>0</v>
      </c>
      <c r="E13" s="828" t="s">
        <v>57</v>
      </c>
      <c r="F13" s="829"/>
      <c r="G13" s="570" t="s">
        <v>58</v>
      </c>
      <c r="H13" s="570" t="s">
        <v>59</v>
      </c>
    </row>
    <row r="14" spans="2:13">
      <c r="B14" s="249"/>
      <c r="C14" s="827"/>
      <c r="D14" s="957"/>
      <c r="E14" s="831"/>
      <c r="F14" s="832"/>
      <c r="G14" s="571" t="s">
        <v>52</v>
      </c>
      <c r="H14" s="571" t="s">
        <v>52</v>
      </c>
    </row>
    <row r="15" spans="2:13">
      <c r="B15" s="249"/>
      <c r="C15" s="550">
        <v>1</v>
      </c>
      <c r="D15" s="553">
        <v>2</v>
      </c>
      <c r="E15" s="814">
        <v>3</v>
      </c>
      <c r="F15" s="815"/>
      <c r="G15" s="549">
        <v>4</v>
      </c>
      <c r="H15" s="571">
        <v>5</v>
      </c>
    </row>
    <row r="16" spans="2:13" ht="32.25" customHeight="1">
      <c r="B16" s="249"/>
      <c r="C16" s="572" t="s">
        <v>414</v>
      </c>
      <c r="D16" s="583" t="s">
        <v>619</v>
      </c>
      <c r="E16" s="389"/>
      <c r="F16" s="527"/>
      <c r="G16" s="574"/>
      <c r="H16" s="390"/>
      <c r="I16" s="636"/>
      <c r="M16" s="32">
        <f>F11-F9</f>
        <v>352000</v>
      </c>
    </row>
    <row r="17" spans="2:9" ht="24">
      <c r="B17" s="249"/>
      <c r="C17" s="101"/>
      <c r="D17" s="244" t="s">
        <v>620</v>
      </c>
      <c r="E17" s="575" t="s">
        <v>218</v>
      </c>
      <c r="F17" s="575" t="s">
        <v>219</v>
      </c>
      <c r="G17" s="541"/>
      <c r="H17" s="576">
        <f>SUM(H18+H34)</f>
        <v>10562000</v>
      </c>
    </row>
    <row r="18" spans="2:9" ht="17.100000000000001" customHeight="1">
      <c r="B18" s="249"/>
      <c r="C18" s="91">
        <v>2</v>
      </c>
      <c r="D18" s="558" t="s">
        <v>34</v>
      </c>
      <c r="E18" s="952"/>
      <c r="F18" s="953"/>
      <c r="G18" s="577"/>
      <c r="H18" s="90">
        <f>SUM(H20:H33)</f>
        <v>10562000</v>
      </c>
    </row>
    <row r="19" spans="2:9" ht="17.100000000000001" customHeight="1">
      <c r="B19" s="249"/>
      <c r="C19" s="91"/>
      <c r="D19" s="557" t="s">
        <v>416</v>
      </c>
      <c r="E19" s="935">
        <v>737000</v>
      </c>
      <c r="F19" s="937"/>
      <c r="G19" s="577"/>
      <c r="H19" s="90"/>
      <c r="I19" s="400">
        <f>H17*7.5%</f>
        <v>792150</v>
      </c>
    </row>
    <row r="20" spans="2:9" ht="17.100000000000001" customHeight="1">
      <c r="B20" s="249"/>
      <c r="C20" s="91"/>
      <c r="D20" s="546" t="s">
        <v>207</v>
      </c>
      <c r="E20" s="101">
        <v>1</v>
      </c>
      <c r="F20" s="554" t="s">
        <v>64</v>
      </c>
      <c r="G20" s="89">
        <f>E19*25%</f>
        <v>184250</v>
      </c>
      <c r="H20" s="92">
        <f t="shared" ref="H20:H33" si="0">E20*G20</f>
        <v>184250</v>
      </c>
    </row>
    <row r="21" spans="2:9" ht="17.100000000000001" customHeight="1">
      <c r="B21" s="249"/>
      <c r="C21" s="94"/>
      <c r="D21" s="546" t="s">
        <v>695</v>
      </c>
      <c r="E21" s="101">
        <v>1</v>
      </c>
      <c r="F21" s="554" t="s">
        <v>64</v>
      </c>
      <c r="G21" s="89">
        <f>E19*15%</f>
        <v>110550</v>
      </c>
      <c r="H21" s="92">
        <f t="shared" si="0"/>
        <v>110550</v>
      </c>
    </row>
    <row r="22" spans="2:9" ht="17.100000000000001" customHeight="1">
      <c r="B22" s="249"/>
      <c r="C22" s="94"/>
      <c r="D22" s="546" t="s">
        <v>70</v>
      </c>
      <c r="E22" s="101">
        <v>6</v>
      </c>
      <c r="F22" s="554" t="s">
        <v>64</v>
      </c>
      <c r="G22" s="89">
        <f>E19*60%/6</f>
        <v>73700</v>
      </c>
      <c r="H22" s="92">
        <f t="shared" si="0"/>
        <v>442200</v>
      </c>
    </row>
    <row r="23" spans="2:9" ht="17.100000000000001" customHeight="1">
      <c r="B23" s="249"/>
      <c r="C23" s="94"/>
      <c r="D23" s="552" t="s">
        <v>417</v>
      </c>
      <c r="E23" s="101">
        <v>40</v>
      </c>
      <c r="F23" s="554" t="s">
        <v>64</v>
      </c>
      <c r="G23" s="578">
        <v>15000</v>
      </c>
      <c r="H23" s="92">
        <f t="shared" si="0"/>
        <v>600000</v>
      </c>
    </row>
    <row r="24" spans="2:9" ht="17.100000000000001" customHeight="1">
      <c r="B24" s="249"/>
      <c r="C24" s="94"/>
      <c r="D24" s="552" t="s">
        <v>418</v>
      </c>
      <c r="E24" s="101">
        <v>40</v>
      </c>
      <c r="F24" s="554" t="s">
        <v>64</v>
      </c>
      <c r="G24" s="578">
        <v>10000</v>
      </c>
      <c r="H24" s="92">
        <f t="shared" si="0"/>
        <v>400000</v>
      </c>
    </row>
    <row r="25" spans="2:9" ht="17.100000000000001" customHeight="1">
      <c r="B25" s="249"/>
      <c r="C25" s="94"/>
      <c r="D25" s="552" t="s">
        <v>419</v>
      </c>
      <c r="E25" s="101">
        <v>40</v>
      </c>
      <c r="F25" s="554" t="s">
        <v>64</v>
      </c>
      <c r="G25" s="578">
        <v>5000</v>
      </c>
      <c r="H25" s="92">
        <f t="shared" si="0"/>
        <v>200000</v>
      </c>
    </row>
    <row r="26" spans="2:9" ht="17.100000000000001" customHeight="1">
      <c r="B26" s="249"/>
      <c r="C26" s="94"/>
      <c r="D26" s="552" t="s">
        <v>420</v>
      </c>
      <c r="E26" s="101">
        <v>4</v>
      </c>
      <c r="F26" s="554" t="s">
        <v>64</v>
      </c>
      <c r="G26" s="578">
        <v>500000</v>
      </c>
      <c r="H26" s="92">
        <f t="shared" si="0"/>
        <v>2000000</v>
      </c>
    </row>
    <row r="27" spans="2:9" ht="17.100000000000001" customHeight="1">
      <c r="B27" s="249"/>
      <c r="C27" s="94"/>
      <c r="D27" s="552" t="s">
        <v>426</v>
      </c>
      <c r="E27" s="101">
        <v>1</v>
      </c>
      <c r="F27" s="554" t="s">
        <v>64</v>
      </c>
      <c r="G27" s="578">
        <v>150000</v>
      </c>
      <c r="H27" s="92">
        <f t="shared" si="0"/>
        <v>150000</v>
      </c>
    </row>
    <row r="28" spans="2:9" ht="17.100000000000001" customHeight="1">
      <c r="B28" s="249"/>
      <c r="C28" s="94"/>
      <c r="D28" s="552" t="s">
        <v>427</v>
      </c>
      <c r="E28" s="101">
        <v>1</v>
      </c>
      <c r="F28" s="554" t="s">
        <v>64</v>
      </c>
      <c r="G28" s="578">
        <v>100000</v>
      </c>
      <c r="H28" s="92">
        <f t="shared" si="0"/>
        <v>100000</v>
      </c>
    </row>
    <row r="29" spans="2:9" ht="17.100000000000001" customHeight="1">
      <c r="B29" s="249"/>
      <c r="C29" s="94"/>
      <c r="D29" s="552" t="s">
        <v>421</v>
      </c>
      <c r="E29" s="101">
        <v>40</v>
      </c>
      <c r="F29" s="554" t="s">
        <v>64</v>
      </c>
      <c r="G29" s="578">
        <v>60000</v>
      </c>
      <c r="H29" s="92">
        <f t="shared" si="0"/>
        <v>2400000</v>
      </c>
    </row>
    <row r="30" spans="2:9" ht="17.100000000000001" customHeight="1">
      <c r="B30" s="249"/>
      <c r="C30" s="94"/>
      <c r="D30" s="555" t="s">
        <v>422</v>
      </c>
      <c r="E30" s="554">
        <v>50</v>
      </c>
      <c r="F30" s="554" t="s">
        <v>64</v>
      </c>
      <c r="G30" s="578">
        <v>25000</v>
      </c>
      <c r="H30" s="92">
        <f t="shared" si="0"/>
        <v>1250000</v>
      </c>
    </row>
    <row r="31" spans="2:9" ht="17.100000000000001" customHeight="1">
      <c r="B31" s="249"/>
      <c r="C31" s="94"/>
      <c r="D31" s="557" t="s">
        <v>425</v>
      </c>
      <c r="E31" s="554">
        <v>50</v>
      </c>
      <c r="F31" s="554" t="s">
        <v>64</v>
      </c>
      <c r="G31" s="578">
        <v>12500</v>
      </c>
      <c r="H31" s="92">
        <f t="shared" si="0"/>
        <v>625000</v>
      </c>
    </row>
    <row r="32" spans="2:9" ht="17.100000000000001" customHeight="1">
      <c r="B32" s="249"/>
      <c r="C32" s="397"/>
      <c r="D32" s="579" t="s">
        <v>423</v>
      </c>
      <c r="E32" s="94">
        <v>40</v>
      </c>
      <c r="F32" s="554" t="s">
        <v>64</v>
      </c>
      <c r="G32" s="403">
        <v>50000</v>
      </c>
      <c r="H32" s="92">
        <f t="shared" si="0"/>
        <v>2000000</v>
      </c>
    </row>
    <row r="33" spans="2:8" ht="17.100000000000001" customHeight="1">
      <c r="B33" s="249"/>
      <c r="C33" s="397"/>
      <c r="D33" s="579" t="s">
        <v>424</v>
      </c>
      <c r="E33" s="94">
        <v>1</v>
      </c>
      <c r="F33" s="554" t="s">
        <v>64</v>
      </c>
      <c r="G33" s="383">
        <v>100000</v>
      </c>
      <c r="H33" s="92">
        <f t="shared" si="0"/>
        <v>100000</v>
      </c>
    </row>
    <row r="34" spans="2:8" ht="17.100000000000001" customHeight="1">
      <c r="B34" s="249"/>
      <c r="C34" s="580">
        <v>3</v>
      </c>
      <c r="D34" s="387" t="s">
        <v>32</v>
      </c>
      <c r="E34" s="581"/>
      <c r="F34" s="551"/>
      <c r="G34" s="383"/>
      <c r="H34" s="265">
        <f>SUM(H35)</f>
        <v>0</v>
      </c>
    </row>
    <row r="35" spans="2:8" ht="17.100000000000001" customHeight="1">
      <c r="B35" s="249"/>
      <c r="C35" s="397"/>
      <c r="D35" s="579"/>
      <c r="E35" s="581"/>
      <c r="F35" s="551"/>
      <c r="G35" s="383"/>
      <c r="H35" s="265"/>
    </row>
    <row r="36" spans="2:8" ht="17.100000000000001" customHeight="1">
      <c r="B36" s="249"/>
      <c r="C36" s="101"/>
      <c r="D36" s="580" t="s">
        <v>221</v>
      </c>
      <c r="E36" s="546"/>
      <c r="F36" s="546"/>
      <c r="G36" s="383"/>
      <c r="H36" s="265">
        <f>H17</f>
        <v>10562000</v>
      </c>
    </row>
    <row r="37" spans="2:8">
      <c r="B37" s="249"/>
      <c r="C37" s="543"/>
      <c r="D37" s="249"/>
      <c r="E37" s="548"/>
      <c r="F37" s="810" t="s">
        <v>982</v>
      </c>
      <c r="G37" s="810"/>
      <c r="H37" s="810"/>
    </row>
    <row r="38" spans="2:8">
      <c r="B38" s="249"/>
      <c r="C38" s="543"/>
      <c r="D38" s="543"/>
      <c r="E38" s="548"/>
      <c r="F38" s="548"/>
      <c r="G38" s="249"/>
      <c r="H38" s="249"/>
    </row>
    <row r="39" spans="2:8">
      <c r="B39" s="249"/>
      <c r="C39" s="249"/>
      <c r="D39" s="78" t="s">
        <v>76</v>
      </c>
      <c r="E39" s="548"/>
      <c r="F39" s="810" t="s">
        <v>77</v>
      </c>
      <c r="G39" s="810"/>
      <c r="H39" s="810"/>
    </row>
    <row r="40" spans="2:8">
      <c r="B40" s="249"/>
      <c r="C40" s="249"/>
      <c r="D40" s="543" t="s">
        <v>78</v>
      </c>
      <c r="E40" s="548"/>
      <c r="F40" s="548"/>
      <c r="G40" s="582"/>
      <c r="H40" s="249"/>
    </row>
    <row r="41" spans="2:8">
      <c r="B41" s="249"/>
      <c r="C41" s="543"/>
      <c r="D41" s="543"/>
      <c r="E41" s="548"/>
      <c r="F41" s="548"/>
      <c r="G41" s="249"/>
      <c r="H41" s="249"/>
    </row>
    <row r="42" spans="2:8">
      <c r="B42" s="249"/>
      <c r="C42" s="543"/>
      <c r="D42" s="543"/>
      <c r="E42" s="548"/>
      <c r="F42" s="548"/>
      <c r="G42" s="249"/>
      <c r="H42" s="249"/>
    </row>
    <row r="43" spans="2:8">
      <c r="B43" s="249"/>
      <c r="C43" s="543"/>
      <c r="D43" s="543"/>
      <c r="E43" s="548"/>
      <c r="F43" s="548"/>
      <c r="G43" s="249"/>
      <c r="H43" s="249"/>
    </row>
    <row r="44" spans="2:8">
      <c r="B44" s="249"/>
      <c r="C44" s="543"/>
      <c r="D44" s="78" t="s">
        <v>51</v>
      </c>
      <c r="E44" s="548"/>
      <c r="F44" s="810" t="s">
        <v>224</v>
      </c>
      <c r="G44" s="810"/>
      <c r="H44" s="810"/>
    </row>
    <row r="45" spans="2:8">
      <c r="B45" s="824" t="s">
        <v>54</v>
      </c>
      <c r="C45" s="824"/>
      <c r="D45" s="824"/>
      <c r="E45" s="824"/>
      <c r="F45" s="824"/>
      <c r="G45" s="824"/>
      <c r="H45" s="824"/>
    </row>
    <row r="46" spans="2:8">
      <c r="B46" s="824" t="s">
        <v>55</v>
      </c>
      <c r="C46" s="824"/>
      <c r="D46" s="824"/>
      <c r="E46" s="824"/>
      <c r="F46" s="824"/>
      <c r="G46" s="824"/>
      <c r="H46" s="824"/>
    </row>
    <row r="47" spans="2:8">
      <c r="B47" s="824" t="s">
        <v>914</v>
      </c>
      <c r="C47" s="824"/>
      <c r="D47" s="824"/>
      <c r="E47" s="824"/>
      <c r="F47" s="824"/>
      <c r="G47" s="824"/>
      <c r="H47" s="824"/>
    </row>
    <row r="48" spans="2:8" ht="4.5" customHeight="1">
      <c r="B48" s="249"/>
      <c r="C48" s="78"/>
      <c r="D48" s="249"/>
      <c r="E48" s="548"/>
      <c r="F48" s="548"/>
      <c r="G48" s="249"/>
      <c r="H48" s="249"/>
    </row>
    <row r="49" spans="2:9">
      <c r="B49" s="567">
        <v>1</v>
      </c>
      <c r="C49" s="954" t="s">
        <v>172</v>
      </c>
      <c r="D49" s="954"/>
      <c r="E49" s="250" t="s">
        <v>204</v>
      </c>
      <c r="H49" s="249"/>
    </row>
    <row r="50" spans="2:9">
      <c r="B50" s="567">
        <v>2</v>
      </c>
      <c r="C50" s="955" t="s">
        <v>173</v>
      </c>
      <c r="D50" s="955"/>
      <c r="E50" s="568" t="s">
        <v>436</v>
      </c>
      <c r="H50" s="249"/>
    </row>
    <row r="51" spans="2:9">
      <c r="B51" s="567">
        <v>3</v>
      </c>
      <c r="C51" s="954" t="s">
        <v>174</v>
      </c>
      <c r="D51" s="954"/>
      <c r="E51" s="250" t="s">
        <v>534</v>
      </c>
      <c r="H51" s="249"/>
    </row>
    <row r="52" spans="2:9">
      <c r="B52" s="567">
        <v>4</v>
      </c>
      <c r="C52" s="569" t="s">
        <v>183</v>
      </c>
      <c r="D52" s="569"/>
      <c r="E52" s="250" t="s">
        <v>472</v>
      </c>
      <c r="H52" s="249"/>
    </row>
    <row r="53" spans="2:9">
      <c r="B53" s="567">
        <v>5</v>
      </c>
      <c r="C53" s="569" t="s">
        <v>184</v>
      </c>
      <c r="D53" s="569"/>
      <c r="E53" s="250" t="s">
        <v>222</v>
      </c>
      <c r="F53" s="251">
        <f>H59</f>
        <v>9064500</v>
      </c>
      <c r="H53" s="249"/>
    </row>
    <row r="54" spans="2:9">
      <c r="B54" s="567"/>
      <c r="C54" s="569" t="s">
        <v>194</v>
      </c>
      <c r="D54" s="569"/>
      <c r="H54" s="249"/>
    </row>
    <row r="55" spans="2:9" ht="24">
      <c r="B55" s="249"/>
      <c r="C55" s="827" t="s">
        <v>56</v>
      </c>
      <c r="D55" s="956" t="s">
        <v>0</v>
      </c>
      <c r="E55" s="828" t="s">
        <v>57</v>
      </c>
      <c r="F55" s="829"/>
      <c r="G55" s="570" t="s">
        <v>58</v>
      </c>
      <c r="H55" s="570" t="s">
        <v>59</v>
      </c>
    </row>
    <row r="56" spans="2:9">
      <c r="B56" s="249"/>
      <c r="C56" s="827"/>
      <c r="D56" s="957"/>
      <c r="E56" s="831"/>
      <c r="F56" s="832"/>
      <c r="G56" s="571" t="s">
        <v>52</v>
      </c>
      <c r="H56" s="571" t="s">
        <v>52</v>
      </c>
    </row>
    <row r="57" spans="2:9">
      <c r="B57" s="249"/>
      <c r="C57" s="550">
        <v>1</v>
      </c>
      <c r="D57" s="553">
        <v>2</v>
      </c>
      <c r="E57" s="814">
        <v>3</v>
      </c>
      <c r="F57" s="815"/>
      <c r="G57" s="549">
        <v>4</v>
      </c>
      <c r="H57" s="571">
        <v>5</v>
      </c>
    </row>
    <row r="58" spans="2:9" ht="34.5" customHeight="1">
      <c r="B58" s="249"/>
      <c r="C58" s="572" t="s">
        <v>435</v>
      </c>
      <c r="D58" s="583" t="str">
        <f>APBDes2017!G99</f>
        <v>Kegiatan Penyelenggaraan Keamanan dan Ketertiban</v>
      </c>
      <c r="E58" s="389"/>
      <c r="F58" s="527"/>
      <c r="G58" s="574"/>
      <c r="H58" s="390"/>
      <c r="I58" s="636"/>
    </row>
    <row r="59" spans="2:9" ht="24">
      <c r="B59" s="249"/>
      <c r="C59" s="101"/>
      <c r="D59" s="244" t="str">
        <f>APBDes2017!G99</f>
        <v>Kegiatan Penyelenggaraan Keamanan dan Ketertiban</v>
      </c>
      <c r="E59" s="575" t="s">
        <v>218</v>
      </c>
      <c r="F59" s="575" t="s">
        <v>219</v>
      </c>
      <c r="G59" s="541"/>
      <c r="H59" s="576">
        <f>SUM(H60+H76)</f>
        <v>9064500</v>
      </c>
    </row>
    <row r="60" spans="2:9">
      <c r="B60" s="249"/>
      <c r="C60" s="91">
        <v>2</v>
      </c>
      <c r="D60" s="558" t="s">
        <v>34</v>
      </c>
      <c r="E60" s="952"/>
      <c r="F60" s="953"/>
      <c r="G60" s="577"/>
      <c r="H60" s="90">
        <f>SUM(H62:H75)</f>
        <v>5164500</v>
      </c>
    </row>
    <row r="61" spans="2:9" ht="17.25" customHeight="1">
      <c r="B61" s="249"/>
      <c r="C61" s="91"/>
      <c r="D61" s="557" t="s">
        <v>416</v>
      </c>
      <c r="E61" s="935">
        <v>632000</v>
      </c>
      <c r="F61" s="937"/>
      <c r="G61" s="584"/>
      <c r="H61" s="90"/>
      <c r="I61" s="400">
        <f>H59*7.5%</f>
        <v>679837.5</v>
      </c>
    </row>
    <row r="62" spans="2:9" ht="17.100000000000001" customHeight="1">
      <c r="B62" s="249"/>
      <c r="C62" s="91"/>
      <c r="D62" s="546" t="s">
        <v>207</v>
      </c>
      <c r="E62" s="101">
        <v>1</v>
      </c>
      <c r="F62" s="554" t="s">
        <v>64</v>
      </c>
      <c r="G62" s="89">
        <f>E61*25%</f>
        <v>158000</v>
      </c>
      <c r="H62" s="92">
        <f t="shared" ref="H62:H75" si="1">E62*G62</f>
        <v>158000</v>
      </c>
    </row>
    <row r="63" spans="2:9" ht="17.100000000000001" customHeight="1">
      <c r="B63" s="249"/>
      <c r="C63" s="94"/>
      <c r="D63" s="546" t="s">
        <v>695</v>
      </c>
      <c r="E63" s="101">
        <v>1</v>
      </c>
      <c r="F63" s="554" t="s">
        <v>64</v>
      </c>
      <c r="G63" s="89">
        <f>E61*15%</f>
        <v>94800</v>
      </c>
      <c r="H63" s="92">
        <f t="shared" si="1"/>
        <v>94800</v>
      </c>
    </row>
    <row r="64" spans="2:9" ht="17.100000000000001" customHeight="1">
      <c r="B64" s="249"/>
      <c r="C64" s="94"/>
      <c r="D64" s="546" t="s">
        <v>70</v>
      </c>
      <c r="E64" s="101">
        <v>6</v>
      </c>
      <c r="F64" s="554" t="s">
        <v>64</v>
      </c>
      <c r="G64" s="89">
        <f>E61*60%/6</f>
        <v>63200</v>
      </c>
      <c r="H64" s="92">
        <f t="shared" si="1"/>
        <v>379200</v>
      </c>
    </row>
    <row r="65" spans="2:8" ht="17.100000000000001" customHeight="1">
      <c r="B65" s="249"/>
      <c r="C65" s="94"/>
      <c r="D65" s="552" t="s">
        <v>417</v>
      </c>
      <c r="E65" s="101">
        <v>13</v>
      </c>
      <c r="F65" s="554" t="s">
        <v>64</v>
      </c>
      <c r="G65" s="578">
        <v>15000</v>
      </c>
      <c r="H65" s="92">
        <f t="shared" si="1"/>
        <v>195000</v>
      </c>
    </row>
    <row r="66" spans="2:8" ht="17.100000000000001" customHeight="1">
      <c r="B66" s="249"/>
      <c r="C66" s="94"/>
      <c r="D66" s="552" t="s">
        <v>418</v>
      </c>
      <c r="E66" s="101">
        <v>13</v>
      </c>
      <c r="F66" s="554" t="s">
        <v>64</v>
      </c>
      <c r="G66" s="578">
        <v>10000</v>
      </c>
      <c r="H66" s="92">
        <f t="shared" si="1"/>
        <v>130000</v>
      </c>
    </row>
    <row r="67" spans="2:8" ht="17.100000000000001" customHeight="1">
      <c r="B67" s="249"/>
      <c r="C67" s="94"/>
      <c r="D67" s="552" t="s">
        <v>419</v>
      </c>
      <c r="E67" s="101">
        <v>13</v>
      </c>
      <c r="F67" s="554" t="s">
        <v>64</v>
      </c>
      <c r="G67" s="578">
        <v>5000</v>
      </c>
      <c r="H67" s="92">
        <f t="shared" si="1"/>
        <v>65000</v>
      </c>
    </row>
    <row r="68" spans="2:8" ht="17.100000000000001" customHeight="1">
      <c r="B68" s="249"/>
      <c r="C68" s="94"/>
      <c r="D68" s="552" t="s">
        <v>420</v>
      </c>
      <c r="E68" s="101">
        <v>3</v>
      </c>
      <c r="F68" s="554" t="s">
        <v>64</v>
      </c>
      <c r="G68" s="578">
        <v>500000</v>
      </c>
      <c r="H68" s="92">
        <f t="shared" si="1"/>
        <v>1500000</v>
      </c>
    </row>
    <row r="69" spans="2:8" ht="17.100000000000001" customHeight="1">
      <c r="B69" s="249"/>
      <c r="C69" s="94"/>
      <c r="D69" s="552" t="s">
        <v>426</v>
      </c>
      <c r="E69" s="101">
        <v>1</v>
      </c>
      <c r="F69" s="554" t="s">
        <v>64</v>
      </c>
      <c r="G69" s="578">
        <v>150000</v>
      </c>
      <c r="H69" s="92">
        <f t="shared" si="1"/>
        <v>150000</v>
      </c>
    </row>
    <row r="70" spans="2:8" ht="17.100000000000001" customHeight="1">
      <c r="B70" s="249"/>
      <c r="C70" s="94"/>
      <c r="D70" s="552" t="s">
        <v>427</v>
      </c>
      <c r="E70" s="101">
        <v>1</v>
      </c>
      <c r="F70" s="554" t="s">
        <v>64</v>
      </c>
      <c r="G70" s="578">
        <v>100000</v>
      </c>
      <c r="H70" s="92">
        <f t="shared" si="1"/>
        <v>100000</v>
      </c>
    </row>
    <row r="71" spans="2:8" ht="17.100000000000001" customHeight="1">
      <c r="B71" s="249"/>
      <c r="C71" s="94"/>
      <c r="D71" s="552" t="s">
        <v>421</v>
      </c>
      <c r="E71" s="101">
        <v>13</v>
      </c>
      <c r="F71" s="554" t="s">
        <v>64</v>
      </c>
      <c r="G71" s="578">
        <v>60000</v>
      </c>
      <c r="H71" s="92">
        <f t="shared" si="1"/>
        <v>780000</v>
      </c>
    </row>
    <row r="72" spans="2:8" ht="17.100000000000001" customHeight="1">
      <c r="B72" s="249"/>
      <c r="C72" s="94"/>
      <c r="D72" s="555" t="s">
        <v>422</v>
      </c>
      <c r="E72" s="554">
        <v>23</v>
      </c>
      <c r="F72" s="554" t="s">
        <v>64</v>
      </c>
      <c r="G72" s="578">
        <v>25000</v>
      </c>
      <c r="H72" s="92">
        <f t="shared" si="1"/>
        <v>575000</v>
      </c>
    </row>
    <row r="73" spans="2:8" ht="17.100000000000001" customHeight="1">
      <c r="B73" s="249"/>
      <c r="C73" s="94"/>
      <c r="D73" s="557" t="s">
        <v>425</v>
      </c>
      <c r="E73" s="554">
        <v>23</v>
      </c>
      <c r="F73" s="554" t="s">
        <v>64</v>
      </c>
      <c r="G73" s="578">
        <v>12500</v>
      </c>
      <c r="H73" s="92">
        <f t="shared" si="1"/>
        <v>287500</v>
      </c>
    </row>
    <row r="74" spans="2:8" ht="17.100000000000001" customHeight="1">
      <c r="B74" s="249"/>
      <c r="C74" s="397"/>
      <c r="D74" s="579" t="s">
        <v>423</v>
      </c>
      <c r="E74" s="94">
        <v>13</v>
      </c>
      <c r="F74" s="554" t="s">
        <v>64</v>
      </c>
      <c r="G74" s="403">
        <v>50000</v>
      </c>
      <c r="H74" s="92">
        <f t="shared" si="1"/>
        <v>650000</v>
      </c>
    </row>
    <row r="75" spans="2:8" ht="17.100000000000001" customHeight="1">
      <c r="B75" s="249"/>
      <c r="C75" s="397"/>
      <c r="D75" s="579" t="s">
        <v>424</v>
      </c>
      <c r="E75" s="94">
        <v>1</v>
      </c>
      <c r="F75" s="554" t="s">
        <v>64</v>
      </c>
      <c r="G75" s="383">
        <v>100000</v>
      </c>
      <c r="H75" s="92">
        <f t="shared" si="1"/>
        <v>100000</v>
      </c>
    </row>
    <row r="76" spans="2:8" ht="17.100000000000001" customHeight="1">
      <c r="B76" s="249"/>
      <c r="C76" s="580">
        <v>3</v>
      </c>
      <c r="D76" s="387" t="s">
        <v>32</v>
      </c>
      <c r="E76" s="581"/>
      <c r="F76" s="551"/>
      <c r="G76" s="383"/>
      <c r="H76" s="265">
        <f>SUM(H77)</f>
        <v>3900000</v>
      </c>
    </row>
    <row r="77" spans="2:8" ht="17.100000000000001" customHeight="1">
      <c r="B77" s="249"/>
      <c r="C77" s="397"/>
      <c r="D77" s="579" t="s">
        <v>437</v>
      </c>
      <c r="E77" s="94">
        <v>13</v>
      </c>
      <c r="F77" s="94" t="s">
        <v>64</v>
      </c>
      <c r="G77" s="383">
        <v>300000</v>
      </c>
      <c r="H77" s="265">
        <f>SUM(E77*G77)</f>
        <v>3900000</v>
      </c>
    </row>
    <row r="78" spans="2:8" ht="17.100000000000001" customHeight="1">
      <c r="B78" s="249"/>
      <c r="C78" s="101"/>
      <c r="D78" s="580" t="s">
        <v>221</v>
      </c>
      <c r="E78" s="546"/>
      <c r="F78" s="546"/>
      <c r="G78" s="383"/>
      <c r="H78" s="265">
        <f>H59</f>
        <v>9064500</v>
      </c>
    </row>
    <row r="79" spans="2:8">
      <c r="B79" s="249"/>
      <c r="C79" s="543"/>
      <c r="D79" s="249"/>
      <c r="E79" s="548"/>
      <c r="F79" s="810" t="s">
        <v>982</v>
      </c>
      <c r="G79" s="810"/>
      <c r="H79" s="810"/>
    </row>
    <row r="80" spans="2:8">
      <c r="B80" s="249"/>
      <c r="C80" s="543"/>
      <c r="D80" s="543"/>
      <c r="E80" s="548"/>
      <c r="F80" s="548"/>
      <c r="G80" s="249"/>
      <c r="H80" s="249"/>
    </row>
    <row r="81" spans="2:8">
      <c r="B81" s="249"/>
      <c r="C81" s="249"/>
      <c r="D81" s="78" t="s">
        <v>76</v>
      </c>
      <c r="E81" s="548"/>
      <c r="F81" s="810" t="s">
        <v>77</v>
      </c>
      <c r="G81" s="810"/>
      <c r="H81" s="810"/>
    </row>
    <row r="82" spans="2:8">
      <c r="B82" s="249"/>
      <c r="C82" s="249"/>
      <c r="D82" s="543" t="s">
        <v>78</v>
      </c>
      <c r="E82" s="548"/>
      <c r="F82" s="548"/>
      <c r="G82" s="582"/>
      <c r="H82" s="249"/>
    </row>
    <row r="83" spans="2:8">
      <c r="B83" s="249"/>
      <c r="C83" s="543"/>
      <c r="D83" s="543"/>
      <c r="E83" s="548"/>
      <c r="F83" s="548"/>
      <c r="G83" s="249"/>
      <c r="H83" s="249"/>
    </row>
    <row r="84" spans="2:8">
      <c r="B84" s="249"/>
      <c r="C84" s="543"/>
      <c r="D84" s="543"/>
      <c r="E84" s="548"/>
      <c r="F84" s="548"/>
      <c r="G84" s="249"/>
      <c r="H84" s="249"/>
    </row>
    <row r="85" spans="2:8">
      <c r="B85" s="249"/>
      <c r="C85" s="543"/>
      <c r="D85" s="543"/>
      <c r="E85" s="548"/>
      <c r="F85" s="548"/>
      <c r="G85" s="249"/>
      <c r="H85" s="249"/>
    </row>
    <row r="86" spans="2:8">
      <c r="B86" s="249"/>
      <c r="C86" s="543"/>
      <c r="D86" s="78" t="s">
        <v>51</v>
      </c>
      <c r="E86" s="548"/>
      <c r="F86" s="810" t="s">
        <v>224</v>
      </c>
      <c r="G86" s="810"/>
      <c r="H86" s="810"/>
    </row>
    <row r="89" spans="2:8">
      <c r="B89" s="824" t="s">
        <v>54</v>
      </c>
      <c r="C89" s="824"/>
      <c r="D89" s="824"/>
      <c r="E89" s="824"/>
      <c r="F89" s="824"/>
      <c r="G89" s="824"/>
      <c r="H89" s="824"/>
    </row>
    <row r="90" spans="2:8">
      <c r="B90" s="824" t="s">
        <v>55</v>
      </c>
      <c r="C90" s="824"/>
      <c r="D90" s="824"/>
      <c r="E90" s="824"/>
      <c r="F90" s="824"/>
      <c r="G90" s="824"/>
      <c r="H90" s="824"/>
    </row>
    <row r="91" spans="2:8">
      <c r="B91" s="824" t="s">
        <v>914</v>
      </c>
      <c r="C91" s="824"/>
      <c r="D91" s="824"/>
      <c r="E91" s="824"/>
      <c r="F91" s="824"/>
      <c r="G91" s="824"/>
      <c r="H91" s="824"/>
    </row>
    <row r="92" spans="2:8">
      <c r="B92" s="249"/>
      <c r="C92" s="78"/>
      <c r="D92" s="249"/>
      <c r="E92" s="548"/>
      <c r="F92" s="548"/>
      <c r="G92" s="249"/>
      <c r="H92" s="249"/>
    </row>
    <row r="93" spans="2:8">
      <c r="B93" s="567">
        <v>1</v>
      </c>
      <c r="C93" s="954" t="s">
        <v>172</v>
      </c>
      <c r="D93" s="954"/>
      <c r="E93" s="250" t="s">
        <v>204</v>
      </c>
      <c r="H93" s="249"/>
    </row>
    <row r="94" spans="2:8">
      <c r="B94" s="567">
        <v>2</v>
      </c>
      <c r="C94" s="955" t="s">
        <v>173</v>
      </c>
      <c r="D94" s="955"/>
      <c r="E94" s="585" t="s">
        <v>926</v>
      </c>
      <c r="H94" s="249"/>
    </row>
    <row r="95" spans="2:8">
      <c r="B95" s="567">
        <v>3</v>
      </c>
      <c r="C95" s="954" t="s">
        <v>174</v>
      </c>
      <c r="D95" s="954"/>
      <c r="E95" s="250" t="s">
        <v>535</v>
      </c>
      <c r="H95" s="249"/>
    </row>
    <row r="96" spans="2:8">
      <c r="B96" s="567">
        <v>4</v>
      </c>
      <c r="C96" s="569" t="s">
        <v>183</v>
      </c>
      <c r="D96" s="569"/>
      <c r="E96" s="250" t="s">
        <v>472</v>
      </c>
      <c r="H96" s="249"/>
    </row>
    <row r="97" spans="2:10">
      <c r="B97" s="567">
        <v>5</v>
      </c>
      <c r="C97" s="569" t="s">
        <v>184</v>
      </c>
      <c r="D97" s="569"/>
      <c r="E97" s="250" t="s">
        <v>222</v>
      </c>
      <c r="F97" s="251">
        <f>H103</f>
        <v>22980500</v>
      </c>
      <c r="H97" s="249"/>
    </row>
    <row r="98" spans="2:10">
      <c r="B98" s="567"/>
      <c r="C98" s="569" t="s">
        <v>194</v>
      </c>
      <c r="D98" s="569"/>
      <c r="H98" s="249"/>
    </row>
    <row r="99" spans="2:10" ht="24">
      <c r="B99" s="249"/>
      <c r="C99" s="827" t="s">
        <v>56</v>
      </c>
      <c r="D99" s="956" t="s">
        <v>0</v>
      </c>
      <c r="E99" s="828" t="s">
        <v>57</v>
      </c>
      <c r="F99" s="829"/>
      <c r="G99" s="570" t="s">
        <v>58</v>
      </c>
      <c r="H99" s="570" t="s">
        <v>59</v>
      </c>
    </row>
    <row r="100" spans="2:10">
      <c r="B100" s="249"/>
      <c r="C100" s="827"/>
      <c r="D100" s="957"/>
      <c r="E100" s="831"/>
      <c r="F100" s="832"/>
      <c r="G100" s="571" t="s">
        <v>52</v>
      </c>
      <c r="H100" s="571" t="s">
        <v>52</v>
      </c>
    </row>
    <row r="101" spans="2:10">
      <c r="B101" s="249"/>
      <c r="C101" s="550">
        <v>1</v>
      </c>
      <c r="D101" s="553">
        <v>2</v>
      </c>
      <c r="E101" s="814">
        <v>3</v>
      </c>
      <c r="F101" s="815"/>
      <c r="G101" s="549">
        <v>4</v>
      </c>
      <c r="H101" s="571">
        <v>5</v>
      </c>
    </row>
    <row r="102" spans="2:10" ht="19.5" customHeight="1">
      <c r="B102" s="249"/>
      <c r="C102" s="572" t="s">
        <v>494</v>
      </c>
      <c r="D102" s="586" t="s">
        <v>724</v>
      </c>
      <c r="E102" s="389"/>
      <c r="F102" s="527"/>
      <c r="G102" s="574"/>
      <c r="H102" s="390"/>
    </row>
    <row r="103" spans="2:10" ht="37.5" customHeight="1">
      <c r="B103" s="249"/>
      <c r="C103" s="101" t="s">
        <v>415</v>
      </c>
      <c r="D103" s="587" t="s">
        <v>621</v>
      </c>
      <c r="E103" s="575" t="s">
        <v>218</v>
      </c>
      <c r="F103" s="575" t="s">
        <v>219</v>
      </c>
      <c r="G103" s="541"/>
      <c r="H103" s="576">
        <f>H104</f>
        <v>22980500</v>
      </c>
      <c r="I103" s="636"/>
    </row>
    <row r="104" spans="2:10" ht="15.95" customHeight="1">
      <c r="B104" s="249"/>
      <c r="C104" s="91">
        <v>2</v>
      </c>
      <c r="D104" s="558" t="s">
        <v>34</v>
      </c>
      <c r="E104" s="952"/>
      <c r="F104" s="953"/>
      <c r="G104" s="577"/>
      <c r="H104" s="90">
        <f>SUM(H105:H116)</f>
        <v>22980500</v>
      </c>
      <c r="I104" s="624"/>
    </row>
    <row r="105" spans="2:10" ht="17.100000000000001" customHeight="1">
      <c r="B105" s="249"/>
      <c r="C105" s="91"/>
      <c r="D105" s="557" t="s">
        <v>416</v>
      </c>
      <c r="E105" s="935">
        <v>1661000</v>
      </c>
      <c r="F105" s="937"/>
      <c r="G105" s="577"/>
      <c r="H105" s="90"/>
      <c r="I105" s="400">
        <f>H103*7.5%</f>
        <v>1723537.5</v>
      </c>
    </row>
    <row r="106" spans="2:10" ht="17.100000000000001" customHeight="1">
      <c r="B106" s="249"/>
      <c r="C106" s="91"/>
      <c r="D106" s="546" t="s">
        <v>207</v>
      </c>
      <c r="E106" s="101">
        <v>1</v>
      </c>
      <c r="F106" s="554" t="s">
        <v>64</v>
      </c>
      <c r="G106" s="89">
        <f>E105*25%</f>
        <v>415250</v>
      </c>
      <c r="H106" s="92">
        <f t="shared" ref="H106:H116" si="2">E106*G106</f>
        <v>415250</v>
      </c>
      <c r="J106" s="400"/>
    </row>
    <row r="107" spans="2:10" ht="17.100000000000001" customHeight="1">
      <c r="B107" s="249"/>
      <c r="C107" s="94"/>
      <c r="D107" s="546" t="s">
        <v>695</v>
      </c>
      <c r="E107" s="101">
        <v>1</v>
      </c>
      <c r="F107" s="554" t="s">
        <v>64</v>
      </c>
      <c r="G107" s="89">
        <f>E105*15%</f>
        <v>249150</v>
      </c>
      <c r="H107" s="92">
        <f t="shared" si="2"/>
        <v>249150</v>
      </c>
    </row>
    <row r="108" spans="2:10" ht="17.100000000000001" customHeight="1">
      <c r="B108" s="249"/>
      <c r="C108" s="94"/>
      <c r="D108" s="546" t="s">
        <v>70</v>
      </c>
      <c r="E108" s="101">
        <v>1</v>
      </c>
      <c r="F108" s="554" t="s">
        <v>64</v>
      </c>
      <c r="G108" s="89">
        <f>E105*60%/6</f>
        <v>166100</v>
      </c>
      <c r="H108" s="92">
        <f t="shared" si="2"/>
        <v>166100</v>
      </c>
    </row>
    <row r="109" spans="2:10" ht="25.5" customHeight="1">
      <c r="B109" s="249"/>
      <c r="C109" s="94"/>
      <c r="D109" s="556" t="s">
        <v>495</v>
      </c>
      <c r="E109" s="101">
        <v>10</v>
      </c>
      <c r="F109" s="554" t="s">
        <v>102</v>
      </c>
      <c r="G109" s="578">
        <v>130000</v>
      </c>
      <c r="H109" s="92">
        <f t="shared" si="2"/>
        <v>1300000</v>
      </c>
    </row>
    <row r="110" spans="2:10" ht="17.100000000000001" customHeight="1">
      <c r="B110" s="249"/>
      <c r="C110" s="94"/>
      <c r="D110" s="552" t="s">
        <v>496</v>
      </c>
      <c r="E110" s="101">
        <v>60</v>
      </c>
      <c r="F110" s="554" t="s">
        <v>244</v>
      </c>
      <c r="G110" s="578">
        <v>120000</v>
      </c>
      <c r="H110" s="92">
        <f t="shared" si="2"/>
        <v>7200000</v>
      </c>
    </row>
    <row r="111" spans="2:10" ht="17.100000000000001" customHeight="1">
      <c r="B111" s="249"/>
      <c r="C111" s="94"/>
      <c r="D111" s="552" t="s">
        <v>497</v>
      </c>
      <c r="E111" s="101">
        <v>200</v>
      </c>
      <c r="F111" s="554" t="s">
        <v>399</v>
      </c>
      <c r="G111" s="578">
        <v>25000</v>
      </c>
      <c r="H111" s="92">
        <f t="shared" si="2"/>
        <v>5000000</v>
      </c>
    </row>
    <row r="112" spans="2:10" ht="17.100000000000001" customHeight="1">
      <c r="B112" s="249"/>
      <c r="C112" s="94"/>
      <c r="D112" s="552" t="s">
        <v>498</v>
      </c>
      <c r="E112" s="101">
        <v>200</v>
      </c>
      <c r="F112" s="554" t="s">
        <v>407</v>
      </c>
      <c r="G112" s="578">
        <v>12500</v>
      </c>
      <c r="H112" s="92">
        <f t="shared" si="2"/>
        <v>2500000</v>
      </c>
    </row>
    <row r="113" spans="2:10" ht="17.100000000000001" customHeight="1">
      <c r="B113" s="249"/>
      <c r="C113" s="94"/>
      <c r="D113" s="552" t="s">
        <v>503</v>
      </c>
      <c r="E113" s="101">
        <v>5</v>
      </c>
      <c r="F113" s="554" t="s">
        <v>492</v>
      </c>
      <c r="G113" s="578">
        <v>200000</v>
      </c>
      <c r="H113" s="92">
        <f t="shared" si="2"/>
        <v>1000000</v>
      </c>
    </row>
    <row r="114" spans="2:10" ht="17.100000000000001" customHeight="1">
      <c r="B114" s="249"/>
      <c r="C114" s="94"/>
      <c r="D114" s="552" t="s">
        <v>499</v>
      </c>
      <c r="E114" s="101">
        <v>5</v>
      </c>
      <c r="F114" s="554" t="s">
        <v>93</v>
      </c>
      <c r="G114" s="578">
        <v>150000</v>
      </c>
      <c r="H114" s="92">
        <f t="shared" si="2"/>
        <v>750000</v>
      </c>
    </row>
    <row r="115" spans="2:10" ht="17.100000000000001" customHeight="1">
      <c r="B115" s="249"/>
      <c r="C115" s="94"/>
      <c r="D115" s="552" t="s">
        <v>500</v>
      </c>
      <c r="E115" s="101">
        <v>500</v>
      </c>
      <c r="F115" s="554" t="s">
        <v>102</v>
      </c>
      <c r="G115" s="578">
        <v>5000</v>
      </c>
      <c r="H115" s="92">
        <f t="shared" si="2"/>
        <v>2500000</v>
      </c>
    </row>
    <row r="116" spans="2:10" ht="17.100000000000001" customHeight="1">
      <c r="B116" s="249"/>
      <c r="C116" s="94"/>
      <c r="D116" s="552" t="s">
        <v>501</v>
      </c>
      <c r="E116" s="101">
        <v>19</v>
      </c>
      <c r="F116" s="554" t="s">
        <v>502</v>
      </c>
      <c r="G116" s="578">
        <v>100000</v>
      </c>
      <c r="H116" s="92">
        <f t="shared" si="2"/>
        <v>1900000</v>
      </c>
    </row>
    <row r="117" spans="2:10" ht="17.100000000000001" customHeight="1">
      <c r="B117" s="249"/>
      <c r="C117" s="580">
        <v>3</v>
      </c>
      <c r="D117" s="387" t="s">
        <v>32</v>
      </c>
      <c r="E117" s="581"/>
      <c r="F117" s="551"/>
      <c r="G117" s="383"/>
      <c r="H117" s="265">
        <v>0</v>
      </c>
      <c r="J117" s="250">
        <f>7200*10%</f>
        <v>720</v>
      </c>
    </row>
    <row r="118" spans="2:10" ht="17.100000000000001" customHeight="1">
      <c r="B118" s="249"/>
      <c r="C118" s="101"/>
      <c r="D118" s="580" t="s">
        <v>221</v>
      </c>
      <c r="E118" s="546"/>
      <c r="F118" s="546"/>
      <c r="G118" s="383"/>
      <c r="H118" s="265">
        <f>H103</f>
        <v>22980500</v>
      </c>
    </row>
    <row r="119" spans="2:10">
      <c r="B119" s="249"/>
      <c r="C119" s="543"/>
      <c r="D119" s="249"/>
      <c r="E119" s="548"/>
      <c r="F119" s="810" t="s">
        <v>982</v>
      </c>
      <c r="G119" s="810"/>
      <c r="H119" s="810"/>
    </row>
    <row r="120" spans="2:10">
      <c r="B120" s="249"/>
      <c r="C120" s="543"/>
      <c r="D120" s="543"/>
      <c r="E120" s="548"/>
      <c r="F120" s="548"/>
      <c r="G120" s="249"/>
      <c r="H120" s="249"/>
    </row>
    <row r="121" spans="2:10">
      <c r="B121" s="249"/>
      <c r="C121" s="249"/>
      <c r="D121" s="78" t="s">
        <v>76</v>
      </c>
      <c r="E121" s="548"/>
      <c r="F121" s="810" t="s">
        <v>77</v>
      </c>
      <c r="G121" s="810"/>
      <c r="H121" s="810"/>
    </row>
    <row r="122" spans="2:10">
      <c r="B122" s="249"/>
      <c r="C122" s="249"/>
      <c r="D122" s="543" t="s">
        <v>78</v>
      </c>
      <c r="E122" s="548"/>
      <c r="F122" s="548"/>
      <c r="G122" s="582"/>
      <c r="H122" s="249"/>
    </row>
    <row r="123" spans="2:10">
      <c r="B123" s="249"/>
      <c r="C123" s="543"/>
      <c r="D123" s="543"/>
      <c r="E123" s="548"/>
      <c r="F123" s="548"/>
      <c r="G123" s="249"/>
      <c r="H123" s="249"/>
    </row>
    <row r="124" spans="2:10">
      <c r="B124" s="249"/>
      <c r="C124" s="543"/>
      <c r="D124" s="543"/>
      <c r="E124" s="548"/>
      <c r="F124" s="548"/>
      <c r="G124" s="249"/>
      <c r="H124" s="249"/>
    </row>
    <row r="125" spans="2:10">
      <c r="B125" s="249"/>
      <c r="C125" s="543"/>
      <c r="D125" s="543"/>
      <c r="E125" s="548"/>
      <c r="F125" s="548"/>
      <c r="G125" s="249"/>
      <c r="H125" s="249"/>
    </row>
    <row r="126" spans="2:10">
      <c r="B126" s="249"/>
      <c r="C126" s="543"/>
      <c r="D126" s="78" t="s">
        <v>51</v>
      </c>
      <c r="E126" s="548"/>
      <c r="F126" s="810" t="s">
        <v>428</v>
      </c>
      <c r="G126" s="810"/>
      <c r="H126" s="810"/>
    </row>
    <row r="133" spans="2:8">
      <c r="B133" s="824" t="s">
        <v>54</v>
      </c>
      <c r="C133" s="824"/>
      <c r="D133" s="824"/>
      <c r="E133" s="824"/>
      <c r="F133" s="824"/>
      <c r="G133" s="824"/>
      <c r="H133" s="824"/>
    </row>
    <row r="134" spans="2:8">
      <c r="B134" s="824" t="s">
        <v>55</v>
      </c>
      <c r="C134" s="824"/>
      <c r="D134" s="824"/>
      <c r="E134" s="824"/>
      <c r="F134" s="824"/>
      <c r="G134" s="824"/>
      <c r="H134" s="824"/>
    </row>
    <row r="135" spans="2:8">
      <c r="B135" s="824" t="s">
        <v>53</v>
      </c>
      <c r="C135" s="824"/>
      <c r="D135" s="824"/>
      <c r="E135" s="824"/>
      <c r="F135" s="824"/>
      <c r="G135" s="824"/>
      <c r="H135" s="824"/>
    </row>
    <row r="136" spans="2:8">
      <c r="B136" s="249"/>
      <c r="C136" s="78"/>
      <c r="D136" s="249"/>
      <c r="E136" s="548"/>
      <c r="F136" s="548"/>
      <c r="G136" s="249"/>
      <c r="H136" s="249"/>
    </row>
    <row r="137" spans="2:8">
      <c r="B137" s="567">
        <v>1</v>
      </c>
      <c r="C137" s="954" t="s">
        <v>172</v>
      </c>
      <c r="D137" s="954"/>
      <c r="E137" s="250" t="s">
        <v>204</v>
      </c>
      <c r="H137" s="249"/>
    </row>
    <row r="138" spans="2:8">
      <c r="B138" s="567">
        <v>2</v>
      </c>
      <c r="C138" s="955" t="s">
        <v>173</v>
      </c>
      <c r="D138" s="955"/>
      <c r="E138" s="585" t="s">
        <v>493</v>
      </c>
      <c r="H138" s="249"/>
    </row>
    <row r="139" spans="2:8">
      <c r="B139" s="567">
        <v>3</v>
      </c>
      <c r="C139" s="954" t="s">
        <v>174</v>
      </c>
      <c r="D139" s="954"/>
      <c r="E139" s="250" t="s">
        <v>189</v>
      </c>
      <c r="H139" s="249"/>
    </row>
    <row r="140" spans="2:8">
      <c r="B140" s="567">
        <v>4</v>
      </c>
      <c r="C140" s="569" t="s">
        <v>183</v>
      </c>
      <c r="D140" s="569"/>
      <c r="E140" s="250" t="s">
        <v>978</v>
      </c>
      <c r="H140" s="249"/>
    </row>
    <row r="141" spans="2:8">
      <c r="B141" s="567">
        <v>5</v>
      </c>
      <c r="C141" s="569" t="s">
        <v>184</v>
      </c>
      <c r="D141" s="569"/>
      <c r="E141" s="250" t="s">
        <v>222</v>
      </c>
      <c r="F141" s="251">
        <f>H147</f>
        <v>12476000</v>
      </c>
      <c r="H141" s="249"/>
    </row>
    <row r="142" spans="2:8">
      <c r="B142" s="567"/>
      <c r="C142" s="569" t="s">
        <v>194</v>
      </c>
      <c r="D142" s="569"/>
      <c r="H142" s="249"/>
    </row>
    <row r="143" spans="2:8" ht="24">
      <c r="B143" s="249"/>
      <c r="C143" s="827" t="s">
        <v>56</v>
      </c>
      <c r="D143" s="956" t="s">
        <v>0</v>
      </c>
      <c r="E143" s="828" t="s">
        <v>57</v>
      </c>
      <c r="F143" s="829"/>
      <c r="G143" s="570" t="s">
        <v>58</v>
      </c>
      <c r="H143" s="570" t="s">
        <v>59</v>
      </c>
    </row>
    <row r="144" spans="2:8">
      <c r="B144" s="249"/>
      <c r="C144" s="827"/>
      <c r="D144" s="957"/>
      <c r="E144" s="831"/>
      <c r="F144" s="832"/>
      <c r="G144" s="571" t="s">
        <v>52</v>
      </c>
      <c r="H144" s="571" t="s">
        <v>52</v>
      </c>
    </row>
    <row r="145" spans="2:9">
      <c r="B145" s="249"/>
      <c r="C145" s="550">
        <v>1</v>
      </c>
      <c r="D145" s="553">
        <v>2</v>
      </c>
      <c r="E145" s="814">
        <v>3</v>
      </c>
      <c r="F145" s="815"/>
      <c r="G145" s="549">
        <v>4</v>
      </c>
      <c r="H145" s="571">
        <v>5</v>
      </c>
    </row>
    <row r="146" spans="2:9" ht="24">
      <c r="B146" s="249"/>
      <c r="C146" s="572" t="s">
        <v>928</v>
      </c>
      <c r="D146" s="586" t="s">
        <v>143</v>
      </c>
      <c r="E146" s="389"/>
      <c r="F146" s="527"/>
      <c r="G146" s="574"/>
      <c r="H146" s="390"/>
    </row>
    <row r="147" spans="2:9">
      <c r="B147" s="249"/>
      <c r="C147" s="101" t="s">
        <v>429</v>
      </c>
      <c r="D147" s="588" t="s">
        <v>525</v>
      </c>
      <c r="E147" s="575" t="s">
        <v>218</v>
      </c>
      <c r="F147" s="575" t="s">
        <v>219</v>
      </c>
      <c r="G147" s="541"/>
      <c r="H147" s="576">
        <f>SUM(H149+H161)</f>
        <v>12476000</v>
      </c>
    </row>
    <row r="148" spans="2:9" ht="30" customHeight="1">
      <c r="B148" s="249"/>
      <c r="C148" s="101"/>
      <c r="D148" s="589" t="s">
        <v>622</v>
      </c>
      <c r="E148" s="540"/>
      <c r="F148" s="544"/>
      <c r="G148" s="541"/>
      <c r="H148" s="576"/>
      <c r="I148" s="636"/>
    </row>
    <row r="149" spans="2:9" ht="17.100000000000001" customHeight="1">
      <c r="B149" s="249"/>
      <c r="C149" s="91">
        <v>2</v>
      </c>
      <c r="D149" s="558" t="s">
        <v>34</v>
      </c>
      <c r="E149" s="952"/>
      <c r="F149" s="953"/>
      <c r="G149" s="577"/>
      <c r="H149" s="90">
        <f>SUM(H150:H160)</f>
        <v>12476000</v>
      </c>
      <c r="I149" s="624"/>
    </row>
    <row r="150" spans="2:9" ht="17.100000000000001" customHeight="1">
      <c r="B150" s="249"/>
      <c r="C150" s="91"/>
      <c r="D150" s="557" t="s">
        <v>416</v>
      </c>
      <c r="E150" s="935">
        <v>126000</v>
      </c>
      <c r="F150" s="937"/>
      <c r="G150" s="577"/>
      <c r="H150" s="90"/>
      <c r="I150" s="400">
        <f>H147*7.5%</f>
        <v>935700</v>
      </c>
    </row>
    <row r="151" spans="2:9" ht="17.100000000000001" customHeight="1">
      <c r="B151" s="249"/>
      <c r="C151" s="91"/>
      <c r="D151" s="546" t="s">
        <v>207</v>
      </c>
      <c r="E151" s="101">
        <v>1</v>
      </c>
      <c r="F151" s="554" t="s">
        <v>64</v>
      </c>
      <c r="G151" s="89">
        <f>E150*25%</f>
        <v>31500</v>
      </c>
      <c r="H151" s="92">
        <f t="shared" ref="H151:H160" si="3">E151*G151</f>
        <v>31500</v>
      </c>
    </row>
    <row r="152" spans="2:9" ht="17.100000000000001" customHeight="1">
      <c r="B152" s="249"/>
      <c r="C152" s="94"/>
      <c r="D152" s="546" t="s">
        <v>695</v>
      </c>
      <c r="E152" s="101">
        <v>1</v>
      </c>
      <c r="F152" s="554" t="s">
        <v>64</v>
      </c>
      <c r="G152" s="89">
        <f>E150*15%</f>
        <v>18900</v>
      </c>
      <c r="H152" s="92">
        <f t="shared" si="3"/>
        <v>18900</v>
      </c>
    </row>
    <row r="153" spans="2:9" ht="17.100000000000001" customHeight="1">
      <c r="B153" s="249"/>
      <c r="C153" s="94"/>
      <c r="D153" s="546" t="s">
        <v>70</v>
      </c>
      <c r="E153" s="101">
        <v>6</v>
      </c>
      <c r="F153" s="554" t="s">
        <v>64</v>
      </c>
      <c r="G153" s="89">
        <f>E150*60%/6</f>
        <v>12600</v>
      </c>
      <c r="H153" s="92">
        <f t="shared" si="3"/>
        <v>75600</v>
      </c>
    </row>
    <row r="154" spans="2:9" ht="17.100000000000001" customHeight="1">
      <c r="B154" s="249"/>
      <c r="C154" s="94"/>
      <c r="D154" s="552" t="s">
        <v>505</v>
      </c>
      <c r="E154" s="101">
        <v>5</v>
      </c>
      <c r="F154" s="554" t="s">
        <v>245</v>
      </c>
      <c r="G154" s="578">
        <v>150000</v>
      </c>
      <c r="H154" s="92">
        <f t="shared" si="3"/>
        <v>750000</v>
      </c>
    </row>
    <row r="155" spans="2:9" ht="17.100000000000001" customHeight="1">
      <c r="B155" s="249"/>
      <c r="C155" s="94"/>
      <c r="D155" s="552" t="s">
        <v>506</v>
      </c>
      <c r="E155" s="101">
        <v>5</v>
      </c>
      <c r="F155" s="554" t="s">
        <v>64</v>
      </c>
      <c r="G155" s="578">
        <v>200000</v>
      </c>
      <c r="H155" s="92">
        <f t="shared" si="3"/>
        <v>1000000</v>
      </c>
    </row>
    <row r="156" spans="2:9" ht="17.100000000000001" customHeight="1">
      <c r="B156" s="249"/>
      <c r="C156" s="94"/>
      <c r="D156" s="552" t="s">
        <v>507</v>
      </c>
      <c r="E156" s="101">
        <v>25</v>
      </c>
      <c r="F156" s="554" t="s">
        <v>510</v>
      </c>
      <c r="G156" s="578">
        <v>200000</v>
      </c>
      <c r="H156" s="92">
        <f t="shared" si="3"/>
        <v>5000000</v>
      </c>
    </row>
    <row r="157" spans="2:9" ht="17.100000000000001" customHeight="1">
      <c r="B157" s="249"/>
      <c r="C157" s="94"/>
      <c r="D157" s="552" t="s">
        <v>508</v>
      </c>
      <c r="E157" s="101">
        <v>15</v>
      </c>
      <c r="F157" s="554" t="s">
        <v>64</v>
      </c>
      <c r="G157" s="578">
        <v>200000</v>
      </c>
      <c r="H157" s="92">
        <f t="shared" si="3"/>
        <v>3000000</v>
      </c>
    </row>
    <row r="158" spans="2:9" ht="17.100000000000001" customHeight="1">
      <c r="B158" s="249"/>
      <c r="C158" s="94"/>
      <c r="D158" s="552" t="s">
        <v>509</v>
      </c>
      <c r="E158" s="101">
        <v>20</v>
      </c>
      <c r="F158" s="554" t="s">
        <v>64</v>
      </c>
      <c r="G158" s="578">
        <v>25000</v>
      </c>
      <c r="H158" s="92">
        <f t="shared" si="3"/>
        <v>500000</v>
      </c>
    </row>
    <row r="159" spans="2:9" ht="17.100000000000001" customHeight="1">
      <c r="B159" s="249"/>
      <c r="C159" s="94"/>
      <c r="D159" s="552" t="s">
        <v>623</v>
      </c>
      <c r="E159" s="101">
        <v>1</v>
      </c>
      <c r="F159" s="554" t="s">
        <v>64</v>
      </c>
      <c r="G159" s="578">
        <v>2000000</v>
      </c>
      <c r="H159" s="92">
        <f t="shared" si="3"/>
        <v>2000000</v>
      </c>
    </row>
    <row r="160" spans="2:9" ht="17.100000000000001" customHeight="1">
      <c r="B160" s="249"/>
      <c r="C160" s="101"/>
      <c r="D160" s="579" t="s">
        <v>424</v>
      </c>
      <c r="E160" s="94">
        <v>1</v>
      </c>
      <c r="F160" s="554" t="s">
        <v>64</v>
      </c>
      <c r="G160" s="383">
        <v>100000</v>
      </c>
      <c r="H160" s="92">
        <f t="shared" si="3"/>
        <v>100000</v>
      </c>
    </row>
    <row r="161" spans="2:8" ht="17.100000000000001" customHeight="1">
      <c r="B161" s="249"/>
      <c r="C161" s="101">
        <v>3</v>
      </c>
      <c r="D161" s="387" t="s">
        <v>32</v>
      </c>
      <c r="E161" s="94"/>
      <c r="F161" s="554"/>
      <c r="G161" s="383"/>
      <c r="H161" s="90">
        <v>0</v>
      </c>
    </row>
    <row r="162" spans="2:8" ht="17.100000000000001" customHeight="1">
      <c r="B162" s="249"/>
      <c r="C162" s="101"/>
      <c r="D162" s="579"/>
      <c r="E162" s="94"/>
      <c r="F162" s="554"/>
      <c r="G162" s="383"/>
      <c r="H162" s="92"/>
    </row>
    <row r="163" spans="2:8" ht="17.100000000000001" customHeight="1">
      <c r="B163" s="249"/>
      <c r="C163" s="101"/>
      <c r="D163" s="590" t="s">
        <v>221</v>
      </c>
      <c r="E163" s="94"/>
      <c r="F163" s="554"/>
      <c r="G163" s="265">
        <f>G147</f>
        <v>0</v>
      </c>
      <c r="H163" s="90">
        <f>H147</f>
        <v>12476000</v>
      </c>
    </row>
    <row r="164" spans="2:8" ht="17.100000000000001" customHeight="1">
      <c r="B164" s="249"/>
      <c r="C164" s="543"/>
      <c r="D164" s="249"/>
      <c r="E164" s="548"/>
      <c r="F164" s="810" t="s">
        <v>997</v>
      </c>
      <c r="G164" s="810"/>
      <c r="H164" s="810"/>
    </row>
    <row r="165" spans="2:8" ht="9" customHeight="1">
      <c r="B165" s="249"/>
      <c r="C165" s="543"/>
      <c r="D165" s="543"/>
      <c r="E165" s="548"/>
      <c r="F165" s="548"/>
      <c r="G165" s="249"/>
      <c r="H165" s="249"/>
    </row>
    <row r="166" spans="2:8" ht="17.100000000000001" customHeight="1">
      <c r="B166" s="249"/>
      <c r="C166" s="249"/>
      <c r="D166" s="78" t="s">
        <v>76</v>
      </c>
      <c r="E166" s="548"/>
      <c r="F166" s="810" t="s">
        <v>77</v>
      </c>
      <c r="G166" s="810"/>
      <c r="H166" s="810"/>
    </row>
    <row r="167" spans="2:8" ht="12.75" customHeight="1">
      <c r="B167" s="249"/>
      <c r="C167" s="249"/>
      <c r="D167" s="543" t="s">
        <v>78</v>
      </c>
      <c r="E167" s="548"/>
      <c r="F167" s="548"/>
      <c r="G167" s="582"/>
      <c r="H167" s="249"/>
    </row>
    <row r="168" spans="2:8">
      <c r="B168" s="249"/>
      <c r="C168" s="543"/>
      <c r="D168" s="543"/>
      <c r="E168" s="548"/>
      <c r="F168" s="548"/>
      <c r="G168" s="249"/>
      <c r="H168" s="249"/>
    </row>
    <row r="169" spans="2:8" ht="12.75" customHeight="1">
      <c r="B169" s="249"/>
      <c r="C169" s="543"/>
      <c r="D169" s="543"/>
      <c r="E169" s="548"/>
      <c r="F169" s="548"/>
      <c r="G169" s="249"/>
      <c r="H169" s="249"/>
    </row>
    <row r="170" spans="2:8">
      <c r="B170" s="249"/>
      <c r="C170" s="543"/>
      <c r="D170" s="543"/>
      <c r="E170" s="548"/>
      <c r="F170" s="548"/>
      <c r="G170" s="249"/>
      <c r="H170" s="249"/>
    </row>
    <row r="171" spans="2:8">
      <c r="B171" s="249"/>
      <c r="C171" s="543"/>
      <c r="D171" s="78" t="s">
        <v>51</v>
      </c>
      <c r="E171" s="548"/>
      <c r="F171" s="810" t="s">
        <v>428</v>
      </c>
      <c r="G171" s="810"/>
      <c r="H171" s="810"/>
    </row>
    <row r="172" spans="2:8">
      <c r="B172" s="249"/>
      <c r="C172" s="543"/>
      <c r="D172" s="543"/>
      <c r="E172" s="548"/>
      <c r="F172" s="548"/>
      <c r="G172" s="249"/>
      <c r="H172" s="249"/>
    </row>
    <row r="174" spans="2:8">
      <c r="B174" s="824" t="s">
        <v>54</v>
      </c>
      <c r="C174" s="824"/>
      <c r="D174" s="824"/>
      <c r="E174" s="824"/>
      <c r="F174" s="824"/>
      <c r="G174" s="824"/>
      <c r="H174" s="824"/>
    </row>
    <row r="175" spans="2:8">
      <c r="B175" s="824" t="s">
        <v>55</v>
      </c>
      <c r="C175" s="824"/>
      <c r="D175" s="824"/>
      <c r="E175" s="824"/>
      <c r="F175" s="824"/>
      <c r="G175" s="824"/>
      <c r="H175" s="824"/>
    </row>
    <row r="176" spans="2:8">
      <c r="B176" s="824" t="s">
        <v>914</v>
      </c>
      <c r="C176" s="824"/>
      <c r="D176" s="824"/>
      <c r="E176" s="824"/>
      <c r="F176" s="824"/>
      <c r="G176" s="824"/>
      <c r="H176" s="824"/>
    </row>
    <row r="177" spans="2:10">
      <c r="B177" s="249"/>
      <c r="C177" s="78"/>
      <c r="D177" s="249"/>
      <c r="E177" s="548"/>
      <c r="F177" s="548"/>
      <c r="G177" s="249"/>
      <c r="H177" s="249"/>
    </row>
    <row r="178" spans="2:10">
      <c r="B178" s="567">
        <v>1</v>
      </c>
      <c r="C178" s="954" t="s">
        <v>172</v>
      </c>
      <c r="D178" s="954"/>
      <c r="E178" s="250" t="s">
        <v>204</v>
      </c>
      <c r="H178" s="249"/>
    </row>
    <row r="179" spans="2:10">
      <c r="B179" s="567">
        <v>2</v>
      </c>
      <c r="C179" s="955" t="s">
        <v>173</v>
      </c>
      <c r="D179" s="955"/>
      <c r="E179" s="585" t="s">
        <v>927</v>
      </c>
      <c r="H179" s="249"/>
    </row>
    <row r="180" spans="2:10">
      <c r="B180" s="567">
        <v>3</v>
      </c>
      <c r="C180" s="954" t="s">
        <v>174</v>
      </c>
      <c r="D180" s="954"/>
      <c r="E180" s="250" t="s">
        <v>533</v>
      </c>
      <c r="H180" s="249"/>
    </row>
    <row r="181" spans="2:10">
      <c r="B181" s="567">
        <v>4</v>
      </c>
      <c r="C181" s="569" t="s">
        <v>183</v>
      </c>
      <c r="D181" s="569"/>
      <c r="E181" s="250" t="s">
        <v>472</v>
      </c>
      <c r="H181" s="249"/>
    </row>
    <row r="182" spans="2:10">
      <c r="B182" s="567">
        <v>5</v>
      </c>
      <c r="C182" s="569" t="s">
        <v>184</v>
      </c>
      <c r="D182" s="569"/>
      <c r="E182" s="250" t="s">
        <v>222</v>
      </c>
      <c r="F182" s="251">
        <f>H187</f>
        <v>13309000</v>
      </c>
      <c r="H182" s="249"/>
    </row>
    <row r="183" spans="2:10">
      <c r="B183" s="567"/>
      <c r="C183" s="569" t="s">
        <v>194</v>
      </c>
      <c r="D183" s="569"/>
      <c r="H183" s="249"/>
    </row>
    <row r="184" spans="2:10" ht="24">
      <c r="B184" s="249"/>
      <c r="C184" s="827" t="s">
        <v>56</v>
      </c>
      <c r="D184" s="956" t="s">
        <v>0</v>
      </c>
      <c r="E184" s="828" t="s">
        <v>57</v>
      </c>
      <c r="F184" s="829"/>
      <c r="G184" s="570" t="s">
        <v>58</v>
      </c>
      <c r="H184" s="570" t="s">
        <v>59</v>
      </c>
    </row>
    <row r="185" spans="2:10">
      <c r="B185" s="249"/>
      <c r="C185" s="827"/>
      <c r="D185" s="957"/>
      <c r="E185" s="831"/>
      <c r="F185" s="832"/>
      <c r="G185" s="571" t="s">
        <v>52</v>
      </c>
      <c r="H185" s="571" t="s">
        <v>52</v>
      </c>
    </row>
    <row r="186" spans="2:10">
      <c r="B186" s="249"/>
      <c r="C186" s="550">
        <v>1</v>
      </c>
      <c r="D186" s="553">
        <v>2</v>
      </c>
      <c r="E186" s="814">
        <v>3</v>
      </c>
      <c r="F186" s="815"/>
      <c r="G186" s="549">
        <v>4</v>
      </c>
      <c r="H186" s="571">
        <v>5</v>
      </c>
    </row>
    <row r="187" spans="2:10" ht="15.95" customHeight="1">
      <c r="B187" s="249"/>
      <c r="C187" s="580" t="s">
        <v>928</v>
      </c>
      <c r="D187" s="592" t="s">
        <v>525</v>
      </c>
      <c r="E187" s="575" t="s">
        <v>218</v>
      </c>
      <c r="F187" s="575" t="s">
        <v>219</v>
      </c>
      <c r="G187" s="541"/>
      <c r="H187" s="576">
        <f>SUM(H189+H201)</f>
        <v>13309000</v>
      </c>
    </row>
    <row r="188" spans="2:10" ht="32.25" customHeight="1">
      <c r="B188" s="249"/>
      <c r="C188" s="101" t="s">
        <v>415</v>
      </c>
      <c r="D188" s="589" t="s">
        <v>504</v>
      </c>
      <c r="E188" s="540"/>
      <c r="F188" s="544"/>
      <c r="G188" s="541"/>
      <c r="H188" s="576"/>
      <c r="I188" s="636"/>
    </row>
    <row r="189" spans="2:10" ht="17.100000000000001" customHeight="1">
      <c r="B189" s="249"/>
      <c r="C189" s="91">
        <v>2</v>
      </c>
      <c r="D189" s="558" t="s">
        <v>34</v>
      </c>
      <c r="E189" s="952"/>
      <c r="F189" s="953"/>
      <c r="G189" s="577"/>
      <c r="H189" s="90">
        <f>SUM(H190:H200)</f>
        <v>13309000</v>
      </c>
      <c r="I189" s="624"/>
    </row>
    <row r="190" spans="2:10" ht="17.100000000000001" customHeight="1">
      <c r="B190" s="249"/>
      <c r="C190" s="91"/>
      <c r="D190" s="557" t="s">
        <v>416</v>
      </c>
      <c r="E190" s="935">
        <v>929000</v>
      </c>
      <c r="F190" s="937"/>
      <c r="G190" s="577"/>
      <c r="H190" s="90"/>
      <c r="J190" s="250">
        <f>H189*7.5%</f>
        <v>998175</v>
      </c>
    </row>
    <row r="191" spans="2:10" ht="17.100000000000001" customHeight="1">
      <c r="B191" s="249"/>
      <c r="C191" s="91"/>
      <c r="D191" s="546" t="s">
        <v>207</v>
      </c>
      <c r="E191" s="101">
        <v>1</v>
      </c>
      <c r="F191" s="554" t="s">
        <v>64</v>
      </c>
      <c r="G191" s="89">
        <f>E190*25%</f>
        <v>232250</v>
      </c>
      <c r="H191" s="92">
        <f t="shared" ref="H191:H200" si="4">E191*G191</f>
        <v>232250</v>
      </c>
    </row>
    <row r="192" spans="2:10" ht="17.100000000000001" customHeight="1">
      <c r="B192" s="249"/>
      <c r="C192" s="94"/>
      <c r="D192" s="546" t="s">
        <v>695</v>
      </c>
      <c r="E192" s="101">
        <v>1</v>
      </c>
      <c r="F192" s="554" t="s">
        <v>64</v>
      </c>
      <c r="G192" s="89">
        <f>E190*15%</f>
        <v>139350</v>
      </c>
      <c r="H192" s="92">
        <f t="shared" si="4"/>
        <v>139350</v>
      </c>
    </row>
    <row r="193" spans="2:10" ht="17.100000000000001" customHeight="1">
      <c r="B193" s="249"/>
      <c r="C193" s="94"/>
      <c r="D193" s="546" t="s">
        <v>70</v>
      </c>
      <c r="E193" s="101">
        <v>6</v>
      </c>
      <c r="F193" s="554" t="s">
        <v>64</v>
      </c>
      <c r="G193" s="89">
        <f>E190*60%/6</f>
        <v>92900</v>
      </c>
      <c r="H193" s="92">
        <f t="shared" si="4"/>
        <v>557400</v>
      </c>
    </row>
    <row r="194" spans="2:10" ht="17.100000000000001" customHeight="1">
      <c r="B194" s="249"/>
      <c r="C194" s="94"/>
      <c r="D194" s="552" t="s">
        <v>505</v>
      </c>
      <c r="E194" s="101">
        <v>5</v>
      </c>
      <c r="F194" s="554" t="s">
        <v>245</v>
      </c>
      <c r="G194" s="578">
        <v>150000</v>
      </c>
      <c r="H194" s="92">
        <f t="shared" si="4"/>
        <v>750000</v>
      </c>
    </row>
    <row r="195" spans="2:10" ht="17.100000000000001" customHeight="1">
      <c r="B195" s="249"/>
      <c r="C195" s="94"/>
      <c r="D195" s="552" t="s">
        <v>506</v>
      </c>
      <c r="E195" s="101">
        <v>5</v>
      </c>
      <c r="F195" s="554" t="s">
        <v>64</v>
      </c>
      <c r="G195" s="578">
        <v>200000</v>
      </c>
      <c r="H195" s="92">
        <f t="shared" si="4"/>
        <v>1000000</v>
      </c>
      <c r="J195" s="250">
        <f>30005/9</f>
        <v>3333.8888888888887</v>
      </c>
    </row>
    <row r="196" spans="2:10" ht="17.100000000000001" customHeight="1">
      <c r="B196" s="249"/>
      <c r="C196" s="94"/>
      <c r="D196" s="552" t="s">
        <v>507</v>
      </c>
      <c r="E196" s="101">
        <v>25</v>
      </c>
      <c r="F196" s="554" t="s">
        <v>510</v>
      </c>
      <c r="G196" s="578">
        <v>200000</v>
      </c>
      <c r="H196" s="92">
        <f t="shared" si="4"/>
        <v>5000000</v>
      </c>
    </row>
    <row r="197" spans="2:10" ht="17.100000000000001" customHeight="1">
      <c r="B197" s="249"/>
      <c r="C197" s="94"/>
      <c r="D197" s="552" t="s">
        <v>508</v>
      </c>
      <c r="E197" s="101">
        <v>15</v>
      </c>
      <c r="F197" s="554" t="s">
        <v>64</v>
      </c>
      <c r="G197" s="578">
        <v>200000</v>
      </c>
      <c r="H197" s="92">
        <f t="shared" si="4"/>
        <v>3000000</v>
      </c>
    </row>
    <row r="198" spans="2:10" ht="17.100000000000001" customHeight="1">
      <c r="B198" s="249"/>
      <c r="C198" s="94"/>
      <c r="D198" s="552" t="s">
        <v>509</v>
      </c>
      <c r="E198" s="101">
        <v>20</v>
      </c>
      <c r="F198" s="554" t="s">
        <v>64</v>
      </c>
      <c r="G198" s="578">
        <v>25000</v>
      </c>
      <c r="H198" s="92">
        <f t="shared" si="4"/>
        <v>500000</v>
      </c>
    </row>
    <row r="199" spans="2:10" ht="17.100000000000001" customHeight="1">
      <c r="B199" s="249"/>
      <c r="C199" s="94"/>
      <c r="D199" s="552" t="s">
        <v>623</v>
      </c>
      <c r="E199" s="101">
        <v>1</v>
      </c>
      <c r="F199" s="554" t="s">
        <v>399</v>
      </c>
      <c r="G199" s="578">
        <v>2000000</v>
      </c>
      <c r="H199" s="92">
        <f t="shared" si="4"/>
        <v>2000000</v>
      </c>
    </row>
    <row r="200" spans="2:10" ht="17.100000000000001" customHeight="1">
      <c r="B200" s="249"/>
      <c r="C200" s="101"/>
      <c r="D200" s="579" t="s">
        <v>424</v>
      </c>
      <c r="E200" s="94">
        <v>1</v>
      </c>
      <c r="F200" s="554" t="s">
        <v>64</v>
      </c>
      <c r="G200" s="383">
        <v>130000</v>
      </c>
      <c r="H200" s="92">
        <f t="shared" si="4"/>
        <v>130000</v>
      </c>
    </row>
    <row r="201" spans="2:10" ht="17.100000000000001" customHeight="1">
      <c r="B201" s="249"/>
      <c r="C201" s="101">
        <v>3</v>
      </c>
      <c r="D201" s="387" t="s">
        <v>32</v>
      </c>
      <c r="E201" s="94"/>
      <c r="F201" s="554"/>
      <c r="G201" s="383"/>
      <c r="H201" s="90">
        <v>0</v>
      </c>
    </row>
    <row r="202" spans="2:10" ht="17.100000000000001" customHeight="1">
      <c r="B202" s="249"/>
      <c r="C202" s="101"/>
      <c r="D202" s="579"/>
      <c r="E202" s="94"/>
      <c r="F202" s="554"/>
      <c r="G202" s="383"/>
      <c r="H202" s="92"/>
    </row>
    <row r="203" spans="2:10" ht="17.100000000000001" customHeight="1">
      <c r="B203" s="249"/>
      <c r="C203" s="101"/>
      <c r="D203" s="590" t="s">
        <v>221</v>
      </c>
      <c r="E203" s="94"/>
      <c r="F203" s="554"/>
      <c r="G203" s="265">
        <f>G187</f>
        <v>0</v>
      </c>
      <c r="H203" s="90">
        <f>H187</f>
        <v>13309000</v>
      </c>
    </row>
    <row r="204" spans="2:10">
      <c r="B204" s="249"/>
      <c r="C204" s="543"/>
      <c r="D204" s="249"/>
      <c r="E204" s="548"/>
      <c r="F204" s="810" t="s">
        <v>982</v>
      </c>
      <c r="G204" s="810"/>
      <c r="H204" s="810"/>
    </row>
    <row r="205" spans="2:10">
      <c r="B205" s="249"/>
      <c r="C205" s="543"/>
      <c r="D205" s="543"/>
      <c r="E205" s="548"/>
      <c r="F205" s="548"/>
      <c r="G205" s="249"/>
      <c r="H205" s="249"/>
    </row>
    <row r="206" spans="2:10">
      <c r="B206" s="249"/>
      <c r="C206" s="249"/>
      <c r="D206" s="78" t="s">
        <v>76</v>
      </c>
      <c r="E206" s="548"/>
      <c r="F206" s="810" t="s">
        <v>77</v>
      </c>
      <c r="G206" s="810"/>
      <c r="H206" s="810"/>
    </row>
    <row r="207" spans="2:10">
      <c r="B207" s="249"/>
      <c r="C207" s="249"/>
      <c r="D207" s="543" t="s">
        <v>78</v>
      </c>
      <c r="E207" s="548"/>
      <c r="F207" s="548"/>
      <c r="G207" s="582"/>
      <c r="H207" s="249"/>
    </row>
    <row r="208" spans="2:10">
      <c r="B208" s="249"/>
      <c r="C208" s="543"/>
      <c r="D208" s="543"/>
      <c r="E208" s="548"/>
      <c r="F208" s="548"/>
      <c r="G208" s="249"/>
      <c r="H208" s="249"/>
    </row>
    <row r="209" spans="2:8">
      <c r="B209" s="249"/>
      <c r="C209" s="543"/>
      <c r="D209" s="543"/>
      <c r="E209" s="548"/>
      <c r="F209" s="548"/>
      <c r="G209" s="249"/>
      <c r="H209" s="249"/>
    </row>
    <row r="210" spans="2:8">
      <c r="B210" s="249"/>
      <c r="C210" s="543"/>
      <c r="D210" s="543"/>
      <c r="E210" s="548"/>
      <c r="F210" s="548"/>
      <c r="G210" s="249"/>
      <c r="H210" s="249"/>
    </row>
    <row r="211" spans="2:8">
      <c r="B211" s="249"/>
      <c r="C211" s="543"/>
      <c r="D211" s="78" t="s">
        <v>51</v>
      </c>
      <c r="E211" s="548"/>
      <c r="F211" s="810" t="s">
        <v>428</v>
      </c>
      <c r="G211" s="810"/>
      <c r="H211" s="810"/>
    </row>
    <row r="218" spans="2:8">
      <c r="B218" s="824" t="s">
        <v>54</v>
      </c>
      <c r="C218" s="824"/>
      <c r="D218" s="824"/>
      <c r="E218" s="824"/>
      <c r="F218" s="824"/>
      <c r="G218" s="824"/>
      <c r="H218" s="824"/>
    </row>
    <row r="219" spans="2:8">
      <c r="B219" s="824" t="s">
        <v>55</v>
      </c>
      <c r="C219" s="824"/>
      <c r="D219" s="824"/>
      <c r="E219" s="824"/>
      <c r="F219" s="824"/>
      <c r="G219" s="824"/>
      <c r="H219" s="824"/>
    </row>
    <row r="220" spans="2:8">
      <c r="B220" s="824" t="s">
        <v>53</v>
      </c>
      <c r="C220" s="824"/>
      <c r="D220" s="824"/>
      <c r="E220" s="824"/>
      <c r="F220" s="824"/>
      <c r="G220" s="824"/>
      <c r="H220" s="824"/>
    </row>
    <row r="221" spans="2:8">
      <c r="B221" s="249"/>
      <c r="C221" s="78"/>
      <c r="D221" s="249"/>
      <c r="E221" s="548"/>
      <c r="F221" s="548"/>
      <c r="G221" s="249"/>
      <c r="H221" s="249"/>
    </row>
    <row r="222" spans="2:8">
      <c r="B222" s="567">
        <v>1</v>
      </c>
      <c r="C222" s="954" t="s">
        <v>172</v>
      </c>
      <c r="D222" s="954"/>
      <c r="E222" s="250" t="s">
        <v>204</v>
      </c>
      <c r="H222" s="249"/>
    </row>
    <row r="223" spans="2:8">
      <c r="B223" s="567">
        <v>2</v>
      </c>
      <c r="C223" s="955" t="s">
        <v>173</v>
      </c>
      <c r="D223" s="955"/>
      <c r="E223" s="585" t="s">
        <v>493</v>
      </c>
      <c r="H223" s="249"/>
    </row>
    <row r="224" spans="2:8">
      <c r="B224" s="567">
        <v>3</v>
      </c>
      <c r="C224" s="954" t="s">
        <v>174</v>
      </c>
      <c r="D224" s="954"/>
      <c r="E224" s="250" t="s">
        <v>537</v>
      </c>
      <c r="H224" s="249"/>
    </row>
    <row r="225" spans="2:10">
      <c r="B225" s="567">
        <v>4</v>
      </c>
      <c r="C225" s="569" t="s">
        <v>183</v>
      </c>
      <c r="D225" s="569"/>
      <c r="E225" s="250" t="s">
        <v>472</v>
      </c>
      <c r="H225" s="249"/>
    </row>
    <row r="226" spans="2:10">
      <c r="B226" s="567">
        <v>5</v>
      </c>
      <c r="C226" s="569" t="s">
        <v>184</v>
      </c>
      <c r="D226" s="569"/>
      <c r="E226" s="250" t="s">
        <v>222</v>
      </c>
      <c r="F226" s="251">
        <f>H232</f>
        <v>15349820</v>
      </c>
      <c r="H226" s="249"/>
    </row>
    <row r="227" spans="2:10">
      <c r="B227" s="567"/>
      <c r="C227" s="569" t="s">
        <v>194</v>
      </c>
      <c r="D227" s="569"/>
      <c r="H227" s="249"/>
    </row>
    <row r="228" spans="2:10" ht="24">
      <c r="B228" s="249"/>
      <c r="C228" s="827" t="s">
        <v>56</v>
      </c>
      <c r="D228" s="956" t="s">
        <v>0</v>
      </c>
      <c r="E228" s="828" t="s">
        <v>57</v>
      </c>
      <c r="F228" s="829"/>
      <c r="G228" s="570" t="s">
        <v>58</v>
      </c>
      <c r="H228" s="570" t="s">
        <v>59</v>
      </c>
    </row>
    <row r="229" spans="2:10">
      <c r="B229" s="249"/>
      <c r="C229" s="827"/>
      <c r="D229" s="957"/>
      <c r="E229" s="831"/>
      <c r="F229" s="832"/>
      <c r="G229" s="571" t="s">
        <v>52</v>
      </c>
      <c r="H229" s="571" t="s">
        <v>52</v>
      </c>
    </row>
    <row r="230" spans="2:10">
      <c r="B230" s="249"/>
      <c r="C230" s="550">
        <v>1</v>
      </c>
      <c r="D230" s="553">
        <v>2</v>
      </c>
      <c r="E230" s="814">
        <v>3</v>
      </c>
      <c r="F230" s="815"/>
      <c r="G230" s="549">
        <v>4</v>
      </c>
      <c r="H230" s="571">
        <v>5</v>
      </c>
    </row>
    <row r="231" spans="2:10" ht="24">
      <c r="B231" s="249"/>
      <c r="C231" s="572" t="s">
        <v>494</v>
      </c>
      <c r="D231" s="586" t="s">
        <v>143</v>
      </c>
      <c r="E231" s="389"/>
      <c r="F231" s="527"/>
      <c r="G231" s="574"/>
      <c r="H231" s="390"/>
    </row>
    <row r="232" spans="2:10" ht="17.100000000000001" customHeight="1">
      <c r="B232" s="249"/>
      <c r="C232" s="101" t="s">
        <v>429</v>
      </c>
      <c r="D232" s="588" t="s">
        <v>526</v>
      </c>
      <c r="E232" s="575" t="s">
        <v>218</v>
      </c>
      <c r="F232" s="575" t="s">
        <v>219</v>
      </c>
      <c r="G232" s="541"/>
      <c r="H232" s="576">
        <f>SUM(H234+H246)</f>
        <v>15349820</v>
      </c>
    </row>
    <row r="233" spans="2:10" ht="33" customHeight="1">
      <c r="B233" s="249"/>
      <c r="C233" s="101"/>
      <c r="D233" s="589" t="s">
        <v>530</v>
      </c>
      <c r="E233" s="540"/>
      <c r="F233" s="544"/>
      <c r="G233" s="541"/>
      <c r="H233" s="576"/>
      <c r="I233" s="636"/>
    </row>
    <row r="234" spans="2:10" ht="17.100000000000001" customHeight="1">
      <c r="B234" s="249"/>
      <c r="C234" s="91">
        <v>2</v>
      </c>
      <c r="D234" s="558" t="s">
        <v>34</v>
      </c>
      <c r="E234" s="952"/>
      <c r="F234" s="953"/>
      <c r="G234" s="577"/>
      <c r="H234" s="90">
        <f>SUM(H235:H245)</f>
        <v>15349820</v>
      </c>
      <c r="J234" s="400"/>
    </row>
    <row r="235" spans="2:10" ht="17.100000000000001" customHeight="1">
      <c r="B235" s="249"/>
      <c r="C235" s="91"/>
      <c r="D235" s="557" t="s">
        <v>416</v>
      </c>
      <c r="E235" s="935">
        <v>1071000</v>
      </c>
      <c r="F235" s="937"/>
      <c r="G235" s="577"/>
      <c r="H235" s="90"/>
      <c r="I235" s="400">
        <f>H232*7.5%</f>
        <v>1151236.5</v>
      </c>
    </row>
    <row r="236" spans="2:10" ht="17.100000000000001" customHeight="1">
      <c r="B236" s="249"/>
      <c r="C236" s="91"/>
      <c r="D236" s="546" t="s">
        <v>207</v>
      </c>
      <c r="E236" s="101">
        <v>1</v>
      </c>
      <c r="F236" s="554" t="s">
        <v>64</v>
      </c>
      <c r="G236" s="89">
        <f>E235*25%</f>
        <v>267750</v>
      </c>
      <c r="H236" s="92">
        <f t="shared" ref="H236:H245" si="5">E236*G236</f>
        <v>267750</v>
      </c>
    </row>
    <row r="237" spans="2:10" ht="17.100000000000001" customHeight="1">
      <c r="B237" s="249"/>
      <c r="C237" s="94"/>
      <c r="D237" s="546" t="s">
        <v>695</v>
      </c>
      <c r="E237" s="101">
        <v>1</v>
      </c>
      <c r="F237" s="554" t="s">
        <v>64</v>
      </c>
      <c r="G237" s="89">
        <f>E235*15%</f>
        <v>160650</v>
      </c>
      <c r="H237" s="92">
        <f t="shared" si="5"/>
        <v>160650</v>
      </c>
    </row>
    <row r="238" spans="2:10" ht="17.100000000000001" customHeight="1">
      <c r="B238" s="249"/>
      <c r="C238" s="94"/>
      <c r="D238" s="546" t="s">
        <v>70</v>
      </c>
      <c r="E238" s="101">
        <v>6</v>
      </c>
      <c r="F238" s="554" t="s">
        <v>64</v>
      </c>
      <c r="G238" s="89">
        <f>E235*60%/6</f>
        <v>107100</v>
      </c>
      <c r="H238" s="92">
        <f t="shared" si="5"/>
        <v>642600</v>
      </c>
    </row>
    <row r="239" spans="2:10" ht="17.100000000000001" customHeight="1">
      <c r="B239" s="249"/>
      <c r="C239" s="94"/>
      <c r="D239" s="552" t="s">
        <v>527</v>
      </c>
      <c r="E239" s="101">
        <v>5</v>
      </c>
      <c r="F239" s="554" t="s">
        <v>245</v>
      </c>
      <c r="G239" s="578">
        <v>200000</v>
      </c>
      <c r="H239" s="92">
        <f t="shared" si="5"/>
        <v>1000000</v>
      </c>
    </row>
    <row r="240" spans="2:10" ht="17.100000000000001" customHeight="1">
      <c r="B240" s="249"/>
      <c r="C240" s="94"/>
      <c r="D240" s="552" t="s">
        <v>506</v>
      </c>
      <c r="E240" s="101">
        <v>2</v>
      </c>
      <c r="F240" s="554" t="s">
        <v>64</v>
      </c>
      <c r="G240" s="578">
        <v>200000</v>
      </c>
      <c r="H240" s="92">
        <f t="shared" si="5"/>
        <v>400000</v>
      </c>
    </row>
    <row r="241" spans="2:11" ht="17.100000000000001" customHeight="1">
      <c r="B241" s="249"/>
      <c r="C241" s="94"/>
      <c r="D241" s="552" t="s">
        <v>528</v>
      </c>
      <c r="E241" s="101">
        <v>39</v>
      </c>
      <c r="F241" s="554" t="s">
        <v>529</v>
      </c>
      <c r="G241" s="578">
        <v>200000</v>
      </c>
      <c r="H241" s="92">
        <f t="shared" si="5"/>
        <v>7800000</v>
      </c>
    </row>
    <row r="242" spans="2:11" ht="17.100000000000001" customHeight="1">
      <c r="B242" s="249"/>
      <c r="C242" s="94"/>
      <c r="D242" s="552" t="s">
        <v>508</v>
      </c>
      <c r="E242" s="101">
        <v>15</v>
      </c>
      <c r="F242" s="554" t="s">
        <v>64</v>
      </c>
      <c r="G242" s="578">
        <v>200000</v>
      </c>
      <c r="H242" s="92">
        <f t="shared" si="5"/>
        <v>3000000</v>
      </c>
    </row>
    <row r="243" spans="2:11" ht="17.100000000000001" customHeight="1">
      <c r="B243" s="249"/>
      <c r="C243" s="94"/>
      <c r="D243" s="552" t="s">
        <v>531</v>
      </c>
      <c r="E243" s="101">
        <v>13</v>
      </c>
      <c r="F243" s="554" t="s">
        <v>64</v>
      </c>
      <c r="G243" s="578">
        <v>100000</v>
      </c>
      <c r="H243" s="92">
        <f t="shared" si="5"/>
        <v>1300000</v>
      </c>
    </row>
    <row r="244" spans="2:11" ht="17.100000000000001" customHeight="1">
      <c r="B244" s="249"/>
      <c r="C244" s="94"/>
      <c r="D244" s="552" t="s">
        <v>532</v>
      </c>
      <c r="E244" s="101">
        <v>15</v>
      </c>
      <c r="F244" s="554" t="s">
        <v>64</v>
      </c>
      <c r="G244" s="578">
        <v>38588</v>
      </c>
      <c r="H244" s="92">
        <f t="shared" si="5"/>
        <v>578820</v>
      </c>
      <c r="J244" s="250">
        <f>30005/15</f>
        <v>2000.3333333333333</v>
      </c>
      <c r="K244" s="591">
        <f>SUM(G244+J244)</f>
        <v>40588.333333333336</v>
      </c>
    </row>
    <row r="245" spans="2:11" ht="17.100000000000001" customHeight="1">
      <c r="B245" s="249"/>
      <c r="C245" s="101"/>
      <c r="D245" s="579" t="s">
        <v>424</v>
      </c>
      <c r="E245" s="94">
        <v>1</v>
      </c>
      <c r="F245" s="554" t="s">
        <v>64</v>
      </c>
      <c r="G245" s="383">
        <v>200000</v>
      </c>
      <c r="H245" s="92">
        <f t="shared" si="5"/>
        <v>200000</v>
      </c>
      <c r="J245" s="250">
        <f>100000-13250</f>
        <v>86750</v>
      </c>
    </row>
    <row r="246" spans="2:11" ht="17.100000000000001" customHeight="1">
      <c r="B246" s="249"/>
      <c r="C246" s="101">
        <v>3</v>
      </c>
      <c r="D246" s="387" t="s">
        <v>32</v>
      </c>
      <c r="E246" s="94"/>
      <c r="F246" s="554"/>
      <c r="G246" s="383"/>
      <c r="H246" s="90">
        <v>0</v>
      </c>
    </row>
    <row r="247" spans="2:11" ht="17.100000000000001" customHeight="1">
      <c r="B247" s="249"/>
      <c r="C247" s="101"/>
      <c r="D247" s="579"/>
      <c r="E247" s="94"/>
      <c r="F247" s="554"/>
      <c r="G247" s="383"/>
      <c r="H247" s="92"/>
    </row>
    <row r="248" spans="2:11" ht="17.100000000000001" customHeight="1">
      <c r="B248" s="249"/>
      <c r="C248" s="101"/>
      <c r="D248" s="590" t="s">
        <v>221</v>
      </c>
      <c r="E248" s="94"/>
      <c r="F248" s="554"/>
      <c r="G248" s="265">
        <f>G232</f>
        <v>0</v>
      </c>
      <c r="H248" s="90">
        <f>H232</f>
        <v>15349820</v>
      </c>
    </row>
    <row r="249" spans="2:11">
      <c r="B249" s="249"/>
      <c r="C249" s="543"/>
      <c r="D249" s="249"/>
      <c r="E249" s="548"/>
      <c r="F249" s="810" t="s">
        <v>982</v>
      </c>
      <c r="G249" s="810"/>
      <c r="H249" s="810"/>
    </row>
    <row r="250" spans="2:11">
      <c r="B250" s="249"/>
      <c r="C250" s="543"/>
      <c r="D250" s="543"/>
      <c r="E250" s="548"/>
      <c r="F250" s="548"/>
      <c r="G250" s="249"/>
      <c r="H250" s="249"/>
    </row>
    <row r="251" spans="2:11">
      <c r="B251" s="249"/>
      <c r="C251" s="249"/>
      <c r="D251" s="78" t="s">
        <v>76</v>
      </c>
      <c r="E251" s="548"/>
      <c r="F251" s="810" t="s">
        <v>77</v>
      </c>
      <c r="G251" s="810"/>
      <c r="H251" s="810"/>
    </row>
    <row r="252" spans="2:11">
      <c r="B252" s="249"/>
      <c r="C252" s="249"/>
      <c r="D252" s="543" t="s">
        <v>78</v>
      </c>
      <c r="E252" s="548"/>
      <c r="F252" s="548"/>
      <c r="G252" s="582"/>
      <c r="H252" s="249"/>
    </row>
    <row r="253" spans="2:11">
      <c r="B253" s="249"/>
      <c r="C253" s="543"/>
      <c r="D253" s="543"/>
      <c r="E253" s="548"/>
      <c r="F253" s="548"/>
      <c r="G253" s="249"/>
      <c r="H253" s="249"/>
    </row>
    <row r="254" spans="2:11">
      <c r="B254" s="249"/>
      <c r="C254" s="543"/>
      <c r="D254" s="543"/>
      <c r="E254" s="548"/>
      <c r="F254" s="548"/>
      <c r="G254" s="249"/>
      <c r="H254" s="249"/>
    </row>
    <row r="255" spans="2:11">
      <c r="B255" s="249"/>
      <c r="C255" s="543"/>
      <c r="D255" s="543"/>
      <c r="E255" s="548"/>
      <c r="F255" s="548"/>
      <c r="G255" s="249"/>
      <c r="H255" s="249"/>
    </row>
    <row r="256" spans="2:11">
      <c r="B256" s="249"/>
      <c r="C256" s="543"/>
      <c r="D256" s="78" t="s">
        <v>51</v>
      </c>
      <c r="E256" s="548"/>
      <c r="F256" s="810" t="s">
        <v>428</v>
      </c>
      <c r="G256" s="810"/>
      <c r="H256" s="810"/>
    </row>
    <row r="259" spans="2:9">
      <c r="B259" s="824" t="s">
        <v>54</v>
      </c>
      <c r="C259" s="824"/>
      <c r="D259" s="824"/>
      <c r="E259" s="824"/>
      <c r="F259" s="824"/>
      <c r="G259" s="824"/>
      <c r="H259" s="824"/>
    </row>
    <row r="260" spans="2:9">
      <c r="B260" s="824" t="s">
        <v>55</v>
      </c>
      <c r="C260" s="824"/>
      <c r="D260" s="824"/>
      <c r="E260" s="824"/>
      <c r="F260" s="824"/>
      <c r="G260" s="824"/>
      <c r="H260" s="824"/>
    </row>
    <row r="261" spans="2:9">
      <c r="B261" s="824" t="s">
        <v>53</v>
      </c>
      <c r="C261" s="824"/>
      <c r="D261" s="824"/>
      <c r="E261" s="824"/>
      <c r="F261" s="824"/>
      <c r="G261" s="824"/>
      <c r="H261" s="824"/>
    </row>
    <row r="262" spans="2:9">
      <c r="B262" s="249"/>
      <c r="C262" s="78"/>
      <c r="D262" s="249"/>
      <c r="E262" s="548"/>
      <c r="F262" s="548"/>
      <c r="G262" s="249"/>
      <c r="H262" s="249"/>
    </row>
    <row r="263" spans="2:9">
      <c r="B263" s="567">
        <v>1</v>
      </c>
      <c r="C263" s="954" t="s">
        <v>172</v>
      </c>
      <c r="D263" s="954"/>
      <c r="E263" s="250" t="s">
        <v>204</v>
      </c>
      <c r="H263" s="249"/>
    </row>
    <row r="264" spans="2:9">
      <c r="B264" s="567">
        <v>2</v>
      </c>
      <c r="C264" s="955" t="s">
        <v>173</v>
      </c>
      <c r="D264" s="955"/>
      <c r="E264" s="585" t="s">
        <v>493</v>
      </c>
      <c r="H264" s="249"/>
    </row>
    <row r="265" spans="2:9">
      <c r="B265" s="567">
        <v>3</v>
      </c>
      <c r="C265" s="954" t="s">
        <v>174</v>
      </c>
      <c r="D265" s="954"/>
      <c r="E265" s="250" t="s">
        <v>189</v>
      </c>
      <c r="H265" s="249"/>
    </row>
    <row r="266" spans="2:9">
      <c r="B266" s="567">
        <v>4</v>
      </c>
      <c r="C266" s="569" t="s">
        <v>183</v>
      </c>
      <c r="D266" s="569"/>
      <c r="E266" s="250" t="s">
        <v>472</v>
      </c>
      <c r="H266" s="249"/>
    </row>
    <row r="267" spans="2:9">
      <c r="B267" s="567">
        <v>5</v>
      </c>
      <c r="C267" s="569" t="s">
        <v>184</v>
      </c>
      <c r="D267" s="569"/>
      <c r="E267" s="250" t="s">
        <v>222</v>
      </c>
      <c r="F267" s="251">
        <f>H273</f>
        <v>14110000</v>
      </c>
      <c r="H267" s="249"/>
    </row>
    <row r="268" spans="2:9">
      <c r="B268" s="567"/>
      <c r="C268" s="569" t="s">
        <v>194</v>
      </c>
      <c r="D268" s="569"/>
      <c r="H268" s="249"/>
    </row>
    <row r="269" spans="2:9" ht="24">
      <c r="B269" s="249"/>
      <c r="C269" s="827" t="s">
        <v>56</v>
      </c>
      <c r="D269" s="956" t="s">
        <v>0</v>
      </c>
      <c r="E269" s="828" t="s">
        <v>57</v>
      </c>
      <c r="F269" s="829"/>
      <c r="G269" s="570" t="s">
        <v>58</v>
      </c>
      <c r="H269" s="570" t="s">
        <v>59</v>
      </c>
    </row>
    <row r="270" spans="2:9">
      <c r="B270" s="249"/>
      <c r="C270" s="827"/>
      <c r="D270" s="957"/>
      <c r="E270" s="831"/>
      <c r="F270" s="832"/>
      <c r="G270" s="571" t="s">
        <v>52</v>
      </c>
      <c r="H270" s="571" t="s">
        <v>52</v>
      </c>
    </row>
    <row r="271" spans="2:9">
      <c r="B271" s="249"/>
      <c r="C271" s="550">
        <v>1</v>
      </c>
      <c r="D271" s="553">
        <v>2</v>
      </c>
      <c r="E271" s="814">
        <v>3</v>
      </c>
      <c r="F271" s="815"/>
      <c r="G271" s="549">
        <v>4</v>
      </c>
      <c r="H271" s="571">
        <v>5</v>
      </c>
    </row>
    <row r="272" spans="2:9" ht="24">
      <c r="B272" s="249"/>
      <c r="C272" s="572" t="s">
        <v>494</v>
      </c>
      <c r="D272" s="586" t="s">
        <v>143</v>
      </c>
      <c r="E272" s="389"/>
      <c r="F272" s="527"/>
      <c r="G272" s="574"/>
      <c r="H272" s="390"/>
      <c r="I272" s="636"/>
    </row>
    <row r="273" spans="2:10">
      <c r="B273" s="249"/>
      <c r="C273" s="101" t="s">
        <v>430</v>
      </c>
      <c r="D273" s="588" t="s">
        <v>526</v>
      </c>
      <c r="E273" s="575" t="s">
        <v>218</v>
      </c>
      <c r="F273" s="575" t="s">
        <v>219</v>
      </c>
      <c r="G273" s="541"/>
      <c r="H273" s="576">
        <f>SUM(H275+H286)</f>
        <v>14110000</v>
      </c>
    </row>
    <row r="274" spans="2:10" ht="24">
      <c r="B274" s="249"/>
      <c r="C274" s="101"/>
      <c r="D274" s="589" t="s">
        <v>624</v>
      </c>
      <c r="E274" s="540"/>
      <c r="F274" s="544"/>
      <c r="G274" s="541"/>
      <c r="H274" s="576"/>
    </row>
    <row r="275" spans="2:10">
      <c r="B275" s="249"/>
      <c r="C275" s="91">
        <v>2</v>
      </c>
      <c r="D275" s="558" t="s">
        <v>34</v>
      </c>
      <c r="E275" s="952"/>
      <c r="F275" s="953"/>
      <c r="G275" s="577"/>
      <c r="H275" s="90">
        <f>SUM(H276:H285)</f>
        <v>14110000</v>
      </c>
      <c r="J275" s="400">
        <f>H275*7.5%</f>
        <v>1058250</v>
      </c>
    </row>
    <row r="276" spans="2:10">
      <c r="B276" s="249"/>
      <c r="C276" s="91"/>
      <c r="D276" s="557" t="s">
        <v>416</v>
      </c>
      <c r="E276" s="935">
        <v>1020000</v>
      </c>
      <c r="F276" s="937"/>
      <c r="G276" s="577"/>
      <c r="H276" s="90"/>
    </row>
    <row r="277" spans="2:10">
      <c r="B277" s="249"/>
      <c r="C277" s="91"/>
      <c r="D277" s="546" t="s">
        <v>207</v>
      </c>
      <c r="E277" s="101">
        <v>1</v>
      </c>
      <c r="F277" s="554" t="s">
        <v>64</v>
      </c>
      <c r="G277" s="89">
        <f>E276*25%</f>
        <v>255000</v>
      </c>
      <c r="H277" s="92">
        <f t="shared" ref="H277:H285" si="6">E277*G277</f>
        <v>255000</v>
      </c>
    </row>
    <row r="278" spans="2:10">
      <c r="B278" s="249"/>
      <c r="C278" s="94"/>
      <c r="D278" s="546" t="s">
        <v>695</v>
      </c>
      <c r="E278" s="101">
        <v>1</v>
      </c>
      <c r="F278" s="554" t="s">
        <v>64</v>
      </c>
      <c r="G278" s="89">
        <f>E276*15%</f>
        <v>153000</v>
      </c>
      <c r="H278" s="92">
        <f t="shared" si="6"/>
        <v>153000</v>
      </c>
    </row>
    <row r="279" spans="2:10">
      <c r="B279" s="249"/>
      <c r="C279" s="94"/>
      <c r="D279" s="546" t="s">
        <v>70</v>
      </c>
      <c r="E279" s="101">
        <v>1</v>
      </c>
      <c r="F279" s="554" t="s">
        <v>64</v>
      </c>
      <c r="G279" s="89">
        <f>E276*60%/6</f>
        <v>102000</v>
      </c>
      <c r="H279" s="92">
        <f t="shared" si="6"/>
        <v>102000</v>
      </c>
    </row>
    <row r="280" spans="2:10">
      <c r="B280" s="249"/>
      <c r="C280" s="94"/>
      <c r="D280" s="552" t="s">
        <v>625</v>
      </c>
      <c r="E280" s="101">
        <v>5</v>
      </c>
      <c r="F280" s="554" t="s">
        <v>245</v>
      </c>
      <c r="G280" s="578">
        <v>200000</v>
      </c>
      <c r="H280" s="92">
        <f t="shared" si="6"/>
        <v>1000000</v>
      </c>
    </row>
    <row r="281" spans="2:10">
      <c r="B281" s="249"/>
      <c r="C281" s="94"/>
      <c r="D281" s="552" t="s">
        <v>506</v>
      </c>
      <c r="E281" s="101">
        <v>2</v>
      </c>
      <c r="F281" s="554" t="s">
        <v>64</v>
      </c>
      <c r="G281" s="578">
        <v>200000</v>
      </c>
      <c r="H281" s="92">
        <f t="shared" si="6"/>
        <v>400000</v>
      </c>
    </row>
    <row r="282" spans="2:10">
      <c r="B282" s="249"/>
      <c r="C282" s="94"/>
      <c r="D282" s="552" t="s">
        <v>626</v>
      </c>
      <c r="E282" s="101">
        <v>39</v>
      </c>
      <c r="F282" s="554" t="s">
        <v>529</v>
      </c>
      <c r="G282" s="578">
        <v>200000</v>
      </c>
      <c r="H282" s="92">
        <f t="shared" si="6"/>
        <v>7800000</v>
      </c>
    </row>
    <row r="283" spans="2:10">
      <c r="B283" s="249"/>
      <c r="C283" s="94"/>
      <c r="D283" s="552" t="s">
        <v>508</v>
      </c>
      <c r="E283" s="101">
        <v>15</v>
      </c>
      <c r="F283" s="554" t="s">
        <v>64</v>
      </c>
      <c r="G283" s="578">
        <v>200000</v>
      </c>
      <c r="H283" s="92">
        <f t="shared" si="6"/>
        <v>3000000</v>
      </c>
    </row>
    <row r="284" spans="2:10">
      <c r="B284" s="249"/>
      <c r="C284" s="94"/>
      <c r="D284" s="552" t="s">
        <v>531</v>
      </c>
      <c r="E284" s="101">
        <v>13</v>
      </c>
      <c r="F284" s="554" t="s">
        <v>64</v>
      </c>
      <c r="G284" s="578">
        <v>100000</v>
      </c>
      <c r="H284" s="92">
        <f t="shared" si="6"/>
        <v>1300000</v>
      </c>
    </row>
    <row r="285" spans="2:10">
      <c r="B285" s="249"/>
      <c r="C285" s="101"/>
      <c r="D285" s="579" t="s">
        <v>424</v>
      </c>
      <c r="E285" s="94">
        <v>1</v>
      </c>
      <c r="F285" s="554" t="s">
        <v>64</v>
      </c>
      <c r="G285" s="383">
        <v>100000</v>
      </c>
      <c r="H285" s="92">
        <f t="shared" si="6"/>
        <v>100000</v>
      </c>
    </row>
    <row r="286" spans="2:10">
      <c r="B286" s="249"/>
      <c r="C286" s="101">
        <v>3</v>
      </c>
      <c r="D286" s="387" t="s">
        <v>32</v>
      </c>
      <c r="E286" s="94"/>
      <c r="F286" s="554"/>
      <c r="G286" s="383"/>
      <c r="H286" s="90">
        <v>0</v>
      </c>
    </row>
    <row r="287" spans="2:10">
      <c r="B287" s="249"/>
      <c r="C287" s="101"/>
      <c r="D287" s="579"/>
      <c r="E287" s="94"/>
      <c r="F287" s="554"/>
      <c r="G287" s="383"/>
      <c r="H287" s="92"/>
    </row>
    <row r="288" spans="2:10">
      <c r="B288" s="249"/>
      <c r="C288" s="101"/>
      <c r="D288" s="590" t="s">
        <v>221</v>
      </c>
      <c r="E288" s="94"/>
      <c r="F288" s="554"/>
      <c r="G288" s="265">
        <f>G273</f>
        <v>0</v>
      </c>
      <c r="H288" s="90">
        <f>H273</f>
        <v>14110000</v>
      </c>
    </row>
    <row r="289" spans="2:8">
      <c r="B289" s="249"/>
      <c r="C289" s="543"/>
      <c r="D289" s="249"/>
      <c r="E289" s="548"/>
      <c r="F289" s="810" t="s">
        <v>982</v>
      </c>
      <c r="G289" s="810"/>
      <c r="H289" s="810"/>
    </row>
    <row r="290" spans="2:8">
      <c r="B290" s="249"/>
      <c r="C290" s="543"/>
      <c r="D290" s="543"/>
      <c r="E290" s="548"/>
      <c r="F290" s="548"/>
      <c r="G290" s="249"/>
      <c r="H290" s="249"/>
    </row>
    <row r="291" spans="2:8">
      <c r="B291" s="249"/>
      <c r="C291" s="249"/>
      <c r="D291" s="78" t="s">
        <v>76</v>
      </c>
      <c r="E291" s="548"/>
      <c r="F291" s="810" t="s">
        <v>77</v>
      </c>
      <c r="G291" s="810"/>
      <c r="H291" s="810"/>
    </row>
    <row r="292" spans="2:8">
      <c r="B292" s="249"/>
      <c r="C292" s="249"/>
      <c r="D292" s="543" t="s">
        <v>78</v>
      </c>
      <c r="E292" s="548"/>
      <c r="F292" s="548"/>
      <c r="G292" s="582"/>
      <c r="H292" s="249"/>
    </row>
    <row r="293" spans="2:8">
      <c r="B293" s="249"/>
      <c r="C293" s="543"/>
      <c r="D293" s="543"/>
      <c r="E293" s="548"/>
      <c r="F293" s="548"/>
      <c r="G293" s="249"/>
      <c r="H293" s="249"/>
    </row>
    <row r="294" spans="2:8">
      <c r="B294" s="249"/>
      <c r="C294" s="543"/>
      <c r="D294" s="543"/>
      <c r="E294" s="548"/>
      <c r="F294" s="548"/>
      <c r="G294" s="249"/>
      <c r="H294" s="249"/>
    </row>
    <row r="295" spans="2:8">
      <c r="B295" s="249"/>
      <c r="C295" s="543"/>
      <c r="D295" s="543"/>
      <c r="E295" s="548"/>
      <c r="F295" s="548"/>
      <c r="G295" s="249"/>
      <c r="H295" s="249"/>
    </row>
    <row r="296" spans="2:8">
      <c r="B296" s="249"/>
      <c r="C296" s="543"/>
      <c r="D296" s="78" t="s">
        <v>51</v>
      </c>
      <c r="E296" s="548"/>
      <c r="F296" s="810" t="s">
        <v>428</v>
      </c>
      <c r="G296" s="810"/>
      <c r="H296" s="810"/>
    </row>
    <row r="298" spans="2:8" ht="15">
      <c r="B298"/>
      <c r="C298"/>
      <c r="D298"/>
      <c r="E298"/>
      <c r="F298"/>
      <c r="G298"/>
      <c r="H298"/>
    </row>
    <row r="299" spans="2:8" ht="15">
      <c r="B299"/>
      <c r="C299"/>
      <c r="D299"/>
      <c r="E299"/>
      <c r="F299"/>
      <c r="G299"/>
      <c r="H299"/>
    </row>
    <row r="300" spans="2:8" ht="15">
      <c r="B300"/>
      <c r="C300"/>
      <c r="D300"/>
      <c r="E300"/>
      <c r="F300"/>
      <c r="G300"/>
      <c r="H300"/>
    </row>
    <row r="301" spans="2:8" ht="3.75" customHeight="1">
      <c r="B301"/>
      <c r="C301"/>
      <c r="D301"/>
      <c r="E301"/>
      <c r="F301"/>
      <c r="G301"/>
      <c r="H301"/>
    </row>
    <row r="302" spans="2:8" ht="15">
      <c r="B302"/>
      <c r="C302"/>
      <c r="D302"/>
      <c r="E302"/>
      <c r="F302"/>
      <c r="G302"/>
      <c r="H302"/>
    </row>
    <row r="303" spans="2:8" ht="15">
      <c r="B303"/>
      <c r="C303"/>
      <c r="D303"/>
      <c r="E303"/>
      <c r="F303"/>
      <c r="G303"/>
      <c r="H303"/>
    </row>
    <row r="304" spans="2:8" ht="15">
      <c r="B304"/>
      <c r="C304"/>
      <c r="D304"/>
      <c r="E304"/>
      <c r="F304"/>
      <c r="G304"/>
      <c r="H304"/>
    </row>
    <row r="305" spans="2:8" ht="15">
      <c r="B305"/>
      <c r="C305"/>
      <c r="D305"/>
      <c r="E305"/>
      <c r="F305"/>
      <c r="G305"/>
      <c r="H305"/>
    </row>
    <row r="306" spans="2:8" ht="15">
      <c r="B306"/>
      <c r="C306"/>
      <c r="D306"/>
      <c r="E306"/>
      <c r="F306"/>
      <c r="G306"/>
      <c r="H306"/>
    </row>
    <row r="307" spans="2:8" ht="15">
      <c r="B307"/>
      <c r="C307"/>
      <c r="D307"/>
      <c r="E307"/>
      <c r="F307"/>
      <c r="G307"/>
      <c r="H307"/>
    </row>
    <row r="308" spans="2:8" ht="15">
      <c r="B308"/>
      <c r="C308"/>
      <c r="D308"/>
      <c r="E308"/>
      <c r="F308"/>
      <c r="G308"/>
      <c r="H308"/>
    </row>
    <row r="309" spans="2:8" ht="15">
      <c r="B309"/>
      <c r="C309"/>
      <c r="D309"/>
      <c r="E309"/>
      <c r="F309"/>
      <c r="G309"/>
      <c r="H309"/>
    </row>
    <row r="310" spans="2:8" ht="15">
      <c r="B310"/>
      <c r="C310"/>
      <c r="D310"/>
      <c r="E310"/>
      <c r="F310"/>
      <c r="G310"/>
      <c r="H310"/>
    </row>
    <row r="311" spans="2:8" ht="15" customHeight="1">
      <c r="B311"/>
      <c r="C311"/>
      <c r="D311"/>
      <c r="E311"/>
      <c r="F311"/>
      <c r="G311"/>
      <c r="H311"/>
    </row>
    <row r="312" spans="2:8" ht="15">
      <c r="B312"/>
      <c r="C312"/>
      <c r="D312"/>
      <c r="E312"/>
      <c r="F312"/>
      <c r="G312"/>
      <c r="H312"/>
    </row>
    <row r="313" spans="2:8" ht="15">
      <c r="B313"/>
      <c r="C313"/>
      <c r="D313"/>
      <c r="E313"/>
      <c r="F313"/>
      <c r="G313"/>
      <c r="H313"/>
    </row>
    <row r="314" spans="2:8" ht="15">
      <c r="B314"/>
      <c r="C314"/>
      <c r="D314"/>
      <c r="E314"/>
      <c r="F314"/>
      <c r="G314"/>
      <c r="H314"/>
    </row>
    <row r="315" spans="2:8" ht="15">
      <c r="B315"/>
      <c r="C315"/>
      <c r="D315"/>
      <c r="E315"/>
      <c r="F315"/>
      <c r="G315"/>
      <c r="H315"/>
    </row>
    <row r="316" spans="2:8" ht="15">
      <c r="B316"/>
      <c r="C316"/>
      <c r="D316"/>
      <c r="E316"/>
      <c r="F316"/>
      <c r="G316"/>
      <c r="H316"/>
    </row>
    <row r="317" spans="2:8" ht="15">
      <c r="B317"/>
      <c r="C317"/>
      <c r="D317"/>
      <c r="E317"/>
      <c r="F317"/>
      <c r="G317"/>
      <c r="H317"/>
    </row>
    <row r="318" spans="2:8" ht="15">
      <c r="B318"/>
      <c r="C318"/>
      <c r="D318"/>
      <c r="E318"/>
      <c r="F318"/>
      <c r="G318"/>
      <c r="H318"/>
    </row>
    <row r="319" spans="2:8" ht="15">
      <c r="B319"/>
      <c r="C319"/>
      <c r="D319"/>
      <c r="E319"/>
      <c r="F319"/>
      <c r="G319"/>
      <c r="H319"/>
    </row>
    <row r="320" spans="2:8" ht="15">
      <c r="B320"/>
      <c r="C320"/>
      <c r="D320"/>
      <c r="E320"/>
      <c r="F320"/>
      <c r="G320"/>
      <c r="H320"/>
    </row>
    <row r="321" spans="2:8" ht="15">
      <c r="B321"/>
      <c r="C321"/>
      <c r="D321"/>
      <c r="E321"/>
      <c r="F321"/>
      <c r="G321"/>
      <c r="H321"/>
    </row>
    <row r="322" spans="2:8" ht="15">
      <c r="B322"/>
      <c r="C322"/>
      <c r="D322"/>
      <c r="E322"/>
      <c r="F322"/>
      <c r="G322"/>
      <c r="H322"/>
    </row>
    <row r="323" spans="2:8" ht="15">
      <c r="B323"/>
      <c r="C323"/>
      <c r="D323"/>
      <c r="E323"/>
      <c r="F323"/>
      <c r="G323"/>
      <c r="H323"/>
    </row>
    <row r="324" spans="2:8" ht="15">
      <c r="B324"/>
      <c r="C324"/>
      <c r="D324"/>
      <c r="E324"/>
      <c r="F324"/>
      <c r="G324"/>
      <c r="H324"/>
    </row>
    <row r="325" spans="2:8" ht="15">
      <c r="B325"/>
      <c r="C325"/>
      <c r="D325"/>
      <c r="E325"/>
      <c r="F325"/>
      <c r="G325"/>
      <c r="H325"/>
    </row>
    <row r="326" spans="2:8" ht="15">
      <c r="B326"/>
      <c r="C326"/>
      <c r="D326"/>
      <c r="E326"/>
      <c r="F326"/>
      <c r="G326"/>
      <c r="H326"/>
    </row>
    <row r="327" spans="2:8" ht="15">
      <c r="B327"/>
      <c r="C327"/>
      <c r="D327"/>
      <c r="E327"/>
      <c r="F327"/>
      <c r="G327"/>
      <c r="H327"/>
    </row>
    <row r="328" spans="2:8" ht="15">
      <c r="B328"/>
      <c r="C328"/>
      <c r="D328"/>
      <c r="E328"/>
      <c r="F328"/>
      <c r="G328"/>
      <c r="H328"/>
    </row>
    <row r="329" spans="2:8" ht="15">
      <c r="B329"/>
      <c r="C329"/>
      <c r="D329"/>
      <c r="E329"/>
      <c r="F329"/>
      <c r="G329"/>
      <c r="H329"/>
    </row>
    <row r="330" spans="2:8" ht="15">
      <c r="B330"/>
      <c r="C330"/>
      <c r="D330"/>
      <c r="E330"/>
      <c r="F330"/>
      <c r="G330"/>
      <c r="H330"/>
    </row>
    <row r="331" spans="2:8" ht="15">
      <c r="B331"/>
      <c r="C331"/>
      <c r="D331"/>
      <c r="E331"/>
      <c r="F331"/>
      <c r="G331"/>
      <c r="H331"/>
    </row>
    <row r="332" spans="2:8" ht="15">
      <c r="B332"/>
      <c r="C332"/>
      <c r="D332"/>
      <c r="E332"/>
      <c r="F332"/>
      <c r="G332"/>
      <c r="H332"/>
    </row>
    <row r="333" spans="2:8" ht="15">
      <c r="B333"/>
      <c r="C333"/>
      <c r="D333"/>
      <c r="E333"/>
      <c r="F333"/>
      <c r="G333"/>
      <c r="H333"/>
    </row>
    <row r="334" spans="2:8" ht="15">
      <c r="B334"/>
      <c r="C334"/>
      <c r="D334"/>
      <c r="E334"/>
      <c r="F334"/>
      <c r="G334"/>
      <c r="H334"/>
    </row>
    <row r="335" spans="2:8" ht="15">
      <c r="B335"/>
      <c r="C335"/>
      <c r="D335"/>
      <c r="E335"/>
      <c r="F335"/>
      <c r="G335"/>
      <c r="H335"/>
    </row>
    <row r="336" spans="2:8" ht="15">
      <c r="B336"/>
      <c r="C336"/>
      <c r="D336"/>
      <c r="E336"/>
      <c r="F336"/>
      <c r="G336"/>
      <c r="H336"/>
    </row>
    <row r="337" spans="2:8" ht="15">
      <c r="B337"/>
      <c r="C337"/>
      <c r="D337"/>
      <c r="E337"/>
      <c r="F337"/>
      <c r="G337"/>
      <c r="H337"/>
    </row>
    <row r="338" spans="2:8" ht="15">
      <c r="B338"/>
      <c r="C338"/>
      <c r="D338"/>
      <c r="E338"/>
      <c r="F338"/>
      <c r="G338"/>
      <c r="H338"/>
    </row>
    <row r="339" spans="2:8" ht="15">
      <c r="B339"/>
      <c r="C339"/>
      <c r="D339"/>
      <c r="E339"/>
      <c r="F339"/>
      <c r="G339"/>
      <c r="H339"/>
    </row>
    <row r="340" spans="2:8" ht="15">
      <c r="B340"/>
      <c r="C340"/>
      <c r="D340"/>
      <c r="E340"/>
      <c r="F340"/>
      <c r="G340"/>
      <c r="H340"/>
    </row>
    <row r="341" spans="2:8" ht="15">
      <c r="B341"/>
      <c r="C341"/>
      <c r="D341"/>
      <c r="E341"/>
      <c r="F341"/>
      <c r="G341"/>
      <c r="H341"/>
    </row>
    <row r="342" spans="2:8" ht="15">
      <c r="B342"/>
      <c r="C342"/>
      <c r="D342"/>
      <c r="E342"/>
      <c r="F342"/>
      <c r="G342"/>
      <c r="H342"/>
    </row>
    <row r="343" spans="2:8" ht="15">
      <c r="B343"/>
      <c r="C343"/>
      <c r="D343"/>
      <c r="E343"/>
      <c r="F343"/>
      <c r="G343"/>
      <c r="H343"/>
    </row>
    <row r="344" spans="2:8" ht="15">
      <c r="B344"/>
      <c r="C344"/>
      <c r="D344"/>
      <c r="E344"/>
      <c r="F344"/>
      <c r="G344"/>
      <c r="H344"/>
    </row>
    <row r="345" spans="2:8" ht="15">
      <c r="B345"/>
      <c r="C345"/>
      <c r="D345"/>
      <c r="E345"/>
      <c r="F345"/>
      <c r="G345"/>
      <c r="H345"/>
    </row>
    <row r="346" spans="2:8" ht="15">
      <c r="B346"/>
      <c r="C346"/>
      <c r="D346"/>
      <c r="E346"/>
      <c r="F346"/>
      <c r="G346"/>
      <c r="H346"/>
    </row>
    <row r="347" spans="2:8" ht="15">
      <c r="B347"/>
      <c r="C347"/>
      <c r="D347"/>
      <c r="E347"/>
      <c r="F347"/>
      <c r="G347"/>
      <c r="H347"/>
    </row>
    <row r="348" spans="2:8" ht="15">
      <c r="B348"/>
      <c r="C348"/>
      <c r="D348"/>
      <c r="E348"/>
      <c r="F348"/>
      <c r="G348"/>
      <c r="H348"/>
    </row>
    <row r="349" spans="2:8" ht="15">
      <c r="B349"/>
      <c r="C349"/>
      <c r="D349"/>
      <c r="E349"/>
      <c r="F349"/>
      <c r="G349"/>
      <c r="H349"/>
    </row>
    <row r="350" spans="2:8" ht="15">
      <c r="B350"/>
      <c r="C350"/>
      <c r="D350"/>
      <c r="E350"/>
      <c r="F350"/>
      <c r="G350"/>
      <c r="H350"/>
    </row>
    <row r="351" spans="2:8" ht="15">
      <c r="B351"/>
      <c r="C351"/>
      <c r="D351"/>
      <c r="E351"/>
      <c r="F351"/>
      <c r="G351"/>
      <c r="H351"/>
    </row>
    <row r="352" spans="2:8" ht="15">
      <c r="B352"/>
      <c r="C352"/>
      <c r="D352"/>
      <c r="E352"/>
      <c r="F352"/>
      <c r="G352"/>
      <c r="H352"/>
    </row>
    <row r="353" spans="2:8" ht="15">
      <c r="B353"/>
      <c r="C353"/>
      <c r="D353"/>
      <c r="E353"/>
      <c r="F353"/>
      <c r="G353"/>
      <c r="H353"/>
    </row>
    <row r="354" spans="2:8" ht="15">
      <c r="B354"/>
      <c r="C354"/>
      <c r="D354"/>
      <c r="E354"/>
      <c r="F354"/>
      <c r="G354"/>
      <c r="H354"/>
    </row>
    <row r="355" spans="2:8" ht="15">
      <c r="B355"/>
      <c r="C355"/>
      <c r="D355"/>
      <c r="E355"/>
      <c r="F355"/>
      <c r="G355"/>
      <c r="H355"/>
    </row>
    <row r="356" spans="2:8" ht="15">
      <c r="B356"/>
      <c r="C356"/>
      <c r="D356"/>
      <c r="E356"/>
      <c r="F356"/>
      <c r="G356"/>
      <c r="H356"/>
    </row>
    <row r="357" spans="2:8" ht="15">
      <c r="B357"/>
      <c r="C357"/>
      <c r="D357"/>
      <c r="E357"/>
      <c r="F357"/>
      <c r="G357"/>
      <c r="H357"/>
    </row>
    <row r="358" spans="2:8" ht="3.75" customHeight="1">
      <c r="B358"/>
      <c r="C358"/>
      <c r="D358"/>
      <c r="E358"/>
      <c r="F358"/>
      <c r="G358"/>
      <c r="H358"/>
    </row>
    <row r="359" spans="2:8" ht="15">
      <c r="B359"/>
      <c r="C359"/>
      <c r="D359"/>
      <c r="E359"/>
      <c r="F359"/>
      <c r="G359"/>
      <c r="H359"/>
    </row>
    <row r="360" spans="2:8" ht="15">
      <c r="B360"/>
      <c r="C360"/>
      <c r="D360"/>
      <c r="E360"/>
      <c r="F360"/>
      <c r="G360"/>
      <c r="H360"/>
    </row>
    <row r="361" spans="2:8" ht="15">
      <c r="B361"/>
      <c r="C361"/>
      <c r="D361"/>
      <c r="E361"/>
      <c r="F361"/>
      <c r="G361"/>
      <c r="H361"/>
    </row>
    <row r="362" spans="2:8" ht="15">
      <c r="B362"/>
      <c r="C362"/>
      <c r="D362"/>
      <c r="E362"/>
      <c r="F362"/>
      <c r="G362"/>
      <c r="H362"/>
    </row>
    <row r="363" spans="2:8" ht="15">
      <c r="B363"/>
      <c r="C363"/>
      <c r="D363"/>
      <c r="E363"/>
      <c r="F363"/>
      <c r="G363"/>
      <c r="H363"/>
    </row>
    <row r="364" spans="2:8" ht="15">
      <c r="B364"/>
      <c r="C364"/>
      <c r="D364"/>
      <c r="E364"/>
      <c r="F364"/>
      <c r="G364"/>
      <c r="H364"/>
    </row>
    <row r="365" spans="2:8" ht="15">
      <c r="B365"/>
      <c r="C365"/>
      <c r="D365"/>
      <c r="E365"/>
      <c r="F365"/>
      <c r="G365"/>
      <c r="H365"/>
    </row>
    <row r="366" spans="2:8" ht="15">
      <c r="B366"/>
      <c r="C366"/>
      <c r="D366"/>
      <c r="E366"/>
      <c r="F366"/>
      <c r="G366"/>
      <c r="H366"/>
    </row>
    <row r="367" spans="2:8" ht="15">
      <c r="B367"/>
      <c r="C367"/>
      <c r="D367"/>
      <c r="E367"/>
      <c r="F367"/>
      <c r="G367"/>
      <c r="H367"/>
    </row>
    <row r="368" spans="2:8" ht="15">
      <c r="B368"/>
      <c r="C368"/>
      <c r="D368"/>
      <c r="E368"/>
      <c r="F368"/>
      <c r="G368"/>
      <c r="H368"/>
    </row>
    <row r="369" spans="2:8" ht="15">
      <c r="B369"/>
      <c r="C369"/>
      <c r="D369"/>
      <c r="E369"/>
      <c r="F369"/>
      <c r="G369"/>
      <c r="H369"/>
    </row>
    <row r="370" spans="2:8" ht="15">
      <c r="B370"/>
      <c r="C370"/>
      <c r="D370"/>
      <c r="E370"/>
      <c r="F370"/>
      <c r="G370"/>
      <c r="H370"/>
    </row>
    <row r="371" spans="2:8" ht="15">
      <c r="B371"/>
      <c r="C371"/>
      <c r="D371"/>
      <c r="E371"/>
      <c r="F371"/>
      <c r="G371"/>
      <c r="H371"/>
    </row>
    <row r="372" spans="2:8" ht="15">
      <c r="B372"/>
      <c r="C372"/>
      <c r="D372"/>
      <c r="E372"/>
      <c r="F372"/>
      <c r="G372"/>
      <c r="H372"/>
    </row>
    <row r="373" spans="2:8" ht="15">
      <c r="B373"/>
      <c r="C373"/>
      <c r="D373"/>
      <c r="E373"/>
      <c r="F373"/>
      <c r="G373"/>
      <c r="H373"/>
    </row>
    <row r="374" spans="2:8" ht="15">
      <c r="B374"/>
      <c r="C374"/>
      <c r="D374"/>
      <c r="E374"/>
      <c r="F374"/>
      <c r="G374"/>
      <c r="H374"/>
    </row>
    <row r="375" spans="2:8" ht="15">
      <c r="B375"/>
      <c r="C375"/>
      <c r="D375"/>
      <c r="E375"/>
      <c r="F375"/>
      <c r="G375"/>
      <c r="H375"/>
    </row>
    <row r="376" spans="2:8" ht="15">
      <c r="B376"/>
      <c r="C376"/>
      <c r="D376"/>
      <c r="E376"/>
      <c r="F376"/>
      <c r="G376"/>
      <c r="H376"/>
    </row>
    <row r="377" spans="2:8" ht="15">
      <c r="B377"/>
      <c r="C377"/>
      <c r="D377"/>
      <c r="E377"/>
      <c r="F377"/>
      <c r="G377"/>
      <c r="H377"/>
    </row>
    <row r="378" spans="2:8" ht="15">
      <c r="B378"/>
      <c r="C378"/>
      <c r="D378"/>
      <c r="E378"/>
      <c r="F378"/>
      <c r="G378"/>
      <c r="H378"/>
    </row>
    <row r="379" spans="2:8" ht="15.75" customHeight="1">
      <c r="B379"/>
      <c r="C379"/>
      <c r="D379"/>
      <c r="E379"/>
      <c r="F379"/>
      <c r="G379"/>
      <c r="H379"/>
    </row>
    <row r="380" spans="2:8" ht="15">
      <c r="B380"/>
      <c r="C380"/>
      <c r="D380"/>
      <c r="E380"/>
      <c r="F380"/>
      <c r="G380"/>
      <c r="H380"/>
    </row>
    <row r="381" spans="2:8" ht="15">
      <c r="B381"/>
      <c r="C381"/>
      <c r="D381"/>
      <c r="E381"/>
      <c r="F381"/>
      <c r="G381"/>
      <c r="H381"/>
    </row>
    <row r="382" spans="2:8" ht="15">
      <c r="B382"/>
      <c r="C382"/>
      <c r="D382"/>
      <c r="E382"/>
      <c r="F382"/>
      <c r="G382"/>
      <c r="H382"/>
    </row>
    <row r="383" spans="2:8" ht="15">
      <c r="B383"/>
      <c r="C383"/>
      <c r="D383"/>
      <c r="E383"/>
      <c r="F383"/>
      <c r="G383"/>
      <c r="H383"/>
    </row>
    <row r="384" spans="2:8" ht="15">
      <c r="B384"/>
      <c r="C384"/>
      <c r="D384"/>
      <c r="E384"/>
      <c r="F384"/>
      <c r="G384"/>
      <c r="H384"/>
    </row>
    <row r="385" spans="2:8" ht="15">
      <c r="B385"/>
      <c r="C385"/>
      <c r="D385"/>
      <c r="E385"/>
      <c r="F385"/>
      <c r="G385"/>
      <c r="H385"/>
    </row>
    <row r="386" spans="2:8" ht="15">
      <c r="B386"/>
      <c r="C386"/>
      <c r="D386"/>
      <c r="E386"/>
      <c r="F386"/>
      <c r="G386"/>
      <c r="H386"/>
    </row>
    <row r="387" spans="2:8" ht="15">
      <c r="B387"/>
      <c r="C387"/>
      <c r="D387"/>
      <c r="E387"/>
      <c r="F387"/>
      <c r="G387"/>
      <c r="H387"/>
    </row>
    <row r="388" spans="2:8" ht="15">
      <c r="B388"/>
      <c r="C388"/>
      <c r="D388"/>
      <c r="E388"/>
      <c r="F388"/>
      <c r="G388"/>
      <c r="H388"/>
    </row>
    <row r="389" spans="2:8" ht="15">
      <c r="B389"/>
      <c r="C389"/>
      <c r="D389"/>
      <c r="E389"/>
      <c r="F389"/>
      <c r="G389"/>
      <c r="H389"/>
    </row>
    <row r="390" spans="2:8" ht="15">
      <c r="B390"/>
      <c r="C390"/>
      <c r="D390"/>
      <c r="E390"/>
      <c r="F390"/>
      <c r="G390"/>
      <c r="H390"/>
    </row>
    <row r="391" spans="2:8" ht="15">
      <c r="B391"/>
      <c r="C391"/>
      <c r="D391"/>
      <c r="E391"/>
      <c r="F391"/>
      <c r="G391"/>
      <c r="H391"/>
    </row>
    <row r="392" spans="2:8" ht="15">
      <c r="B392"/>
      <c r="C392"/>
      <c r="D392"/>
      <c r="E392"/>
      <c r="F392"/>
      <c r="G392"/>
      <c r="H392"/>
    </row>
    <row r="393" spans="2:8" ht="15">
      <c r="B393"/>
      <c r="C393"/>
      <c r="D393"/>
      <c r="E393"/>
      <c r="F393"/>
      <c r="G393"/>
      <c r="H393"/>
    </row>
    <row r="394" spans="2:8" ht="15">
      <c r="B394"/>
      <c r="C394"/>
      <c r="D394"/>
      <c r="E394"/>
      <c r="F394"/>
      <c r="G394"/>
      <c r="H394"/>
    </row>
    <row r="395" spans="2:8" ht="15">
      <c r="B395"/>
      <c r="C395"/>
      <c r="D395"/>
      <c r="E395"/>
      <c r="F395"/>
      <c r="G395"/>
      <c r="H395"/>
    </row>
    <row r="396" spans="2:8" ht="15">
      <c r="B396"/>
      <c r="C396"/>
      <c r="D396"/>
      <c r="E396"/>
      <c r="F396"/>
      <c r="G396"/>
      <c r="H396"/>
    </row>
    <row r="397" spans="2:8" ht="15">
      <c r="B397"/>
      <c r="C397"/>
      <c r="D397"/>
      <c r="E397"/>
      <c r="F397"/>
      <c r="G397"/>
      <c r="H397"/>
    </row>
    <row r="398" spans="2:8" ht="15">
      <c r="B398"/>
      <c r="C398"/>
      <c r="D398"/>
      <c r="E398"/>
      <c r="F398"/>
      <c r="G398"/>
      <c r="H398"/>
    </row>
    <row r="399" spans="2:8" ht="15">
      <c r="B399"/>
      <c r="C399"/>
      <c r="D399"/>
      <c r="E399"/>
      <c r="F399"/>
      <c r="G399"/>
      <c r="H399"/>
    </row>
    <row r="400" spans="2:8" ht="15">
      <c r="B400"/>
      <c r="C400"/>
      <c r="D400"/>
      <c r="E400"/>
      <c r="F400"/>
      <c r="G400"/>
      <c r="H400"/>
    </row>
    <row r="401" spans="2:8" ht="15">
      <c r="B401"/>
      <c r="C401"/>
      <c r="D401"/>
      <c r="E401"/>
      <c r="F401"/>
      <c r="G401"/>
      <c r="H401"/>
    </row>
    <row r="402" spans="2:8" ht="15">
      <c r="B402"/>
      <c r="C402"/>
      <c r="D402"/>
      <c r="E402"/>
      <c r="F402"/>
      <c r="G402"/>
      <c r="H402"/>
    </row>
    <row r="403" spans="2:8" ht="15">
      <c r="B403"/>
      <c r="C403"/>
      <c r="D403"/>
      <c r="E403"/>
      <c r="F403"/>
      <c r="G403"/>
      <c r="H403"/>
    </row>
    <row r="404" spans="2:8" ht="15">
      <c r="B404"/>
      <c r="C404"/>
      <c r="D404"/>
      <c r="E404"/>
      <c r="F404"/>
      <c r="G404"/>
      <c r="H404"/>
    </row>
    <row r="405" spans="2:8" ht="15">
      <c r="B405"/>
      <c r="C405"/>
      <c r="D405"/>
      <c r="E405"/>
      <c r="F405"/>
      <c r="G405"/>
      <c r="H405"/>
    </row>
    <row r="406" spans="2:8" ht="15">
      <c r="B406"/>
      <c r="C406"/>
      <c r="D406"/>
      <c r="E406"/>
      <c r="F406"/>
      <c r="G406"/>
      <c r="H406"/>
    </row>
    <row r="407" spans="2:8" ht="15">
      <c r="B407"/>
      <c r="C407"/>
      <c r="D407"/>
      <c r="E407"/>
      <c r="F407"/>
      <c r="G407"/>
      <c r="H407"/>
    </row>
    <row r="408" spans="2:8" ht="15">
      <c r="B408"/>
      <c r="C408"/>
      <c r="D408"/>
      <c r="E408"/>
      <c r="F408"/>
      <c r="G408"/>
      <c r="H408"/>
    </row>
    <row r="409" spans="2:8" ht="15">
      <c r="B409"/>
      <c r="C409"/>
      <c r="D409"/>
      <c r="E409"/>
      <c r="F409"/>
      <c r="G409"/>
      <c r="H409"/>
    </row>
    <row r="410" spans="2:8" ht="15">
      <c r="B410"/>
      <c r="C410"/>
      <c r="D410"/>
      <c r="E410"/>
      <c r="F410"/>
      <c r="G410"/>
      <c r="H410"/>
    </row>
    <row r="411" spans="2:8" ht="15">
      <c r="B411"/>
      <c r="C411"/>
      <c r="D411"/>
      <c r="E411"/>
      <c r="F411"/>
      <c r="G411"/>
      <c r="H411"/>
    </row>
    <row r="412" spans="2:8" ht="15">
      <c r="B412"/>
      <c r="C412"/>
      <c r="D412"/>
      <c r="E412"/>
      <c r="F412"/>
      <c r="G412"/>
      <c r="H412"/>
    </row>
    <row r="413" spans="2:8" ht="15">
      <c r="B413"/>
      <c r="C413"/>
      <c r="D413"/>
      <c r="E413"/>
      <c r="F413"/>
      <c r="G413"/>
      <c r="H413"/>
    </row>
    <row r="414" spans="2:8" ht="15">
      <c r="B414"/>
      <c r="C414"/>
      <c r="D414"/>
      <c r="E414"/>
      <c r="F414"/>
      <c r="G414"/>
      <c r="H414"/>
    </row>
    <row r="415" spans="2:8" ht="15">
      <c r="B415"/>
      <c r="C415"/>
      <c r="D415"/>
      <c r="E415"/>
      <c r="F415"/>
      <c r="G415"/>
      <c r="H415"/>
    </row>
    <row r="416" spans="2:8" ht="15">
      <c r="B416"/>
      <c r="C416"/>
      <c r="D416"/>
      <c r="E416"/>
      <c r="F416"/>
      <c r="G416"/>
      <c r="H416"/>
    </row>
    <row r="417" spans="2:8" ht="15">
      <c r="B417"/>
      <c r="C417"/>
      <c r="D417"/>
      <c r="E417"/>
      <c r="F417"/>
      <c r="G417"/>
      <c r="H417"/>
    </row>
    <row r="418" spans="2:8" ht="15">
      <c r="B418"/>
      <c r="C418"/>
      <c r="D418"/>
      <c r="E418"/>
      <c r="F418"/>
      <c r="G418"/>
      <c r="H418"/>
    </row>
    <row r="419" spans="2:8" ht="15">
      <c r="B419"/>
      <c r="C419"/>
      <c r="D419"/>
      <c r="E419"/>
      <c r="F419"/>
      <c r="G419"/>
      <c r="H419"/>
    </row>
  </sheetData>
  <mergeCells count="105">
    <mergeCell ref="F206:H206"/>
    <mergeCell ref="F211:H211"/>
    <mergeCell ref="C180:D180"/>
    <mergeCell ref="C184:C185"/>
    <mergeCell ref="D184:D185"/>
    <mergeCell ref="E184:F185"/>
    <mergeCell ref="E186:F186"/>
    <mergeCell ref="E189:F189"/>
    <mergeCell ref="E190:F190"/>
    <mergeCell ref="F204:H204"/>
    <mergeCell ref="B174:H174"/>
    <mergeCell ref="B175:H175"/>
    <mergeCell ref="B176:H176"/>
    <mergeCell ref="C178:D178"/>
    <mergeCell ref="C179:D179"/>
    <mergeCell ref="E150:F150"/>
    <mergeCell ref="F164:H164"/>
    <mergeCell ref="F166:H166"/>
    <mergeCell ref="F171:H171"/>
    <mergeCell ref="C137:D137"/>
    <mergeCell ref="C138:D138"/>
    <mergeCell ref="C139:D139"/>
    <mergeCell ref="C143:C144"/>
    <mergeCell ref="D143:D144"/>
    <mergeCell ref="E143:F144"/>
    <mergeCell ref="E145:F145"/>
    <mergeCell ref="E149:F149"/>
    <mergeCell ref="E101:F101"/>
    <mergeCell ref="E104:F104"/>
    <mergeCell ref="E105:F105"/>
    <mergeCell ref="F119:H119"/>
    <mergeCell ref="F121:H121"/>
    <mergeCell ref="F126:H126"/>
    <mergeCell ref="B133:H133"/>
    <mergeCell ref="B134:H134"/>
    <mergeCell ref="B135:H135"/>
    <mergeCell ref="B89:H89"/>
    <mergeCell ref="B90:H90"/>
    <mergeCell ref="B91:H91"/>
    <mergeCell ref="C93:D93"/>
    <mergeCell ref="C94:D94"/>
    <mergeCell ref="C95:D95"/>
    <mergeCell ref="C99:C100"/>
    <mergeCell ref="D99:D100"/>
    <mergeCell ref="E99:F100"/>
    <mergeCell ref="F86:H86"/>
    <mergeCell ref="E57:F57"/>
    <mergeCell ref="E60:F60"/>
    <mergeCell ref="E61:F61"/>
    <mergeCell ref="F79:H79"/>
    <mergeCell ref="F81:H81"/>
    <mergeCell ref="C50:D50"/>
    <mergeCell ref="C51:D51"/>
    <mergeCell ref="C55:C56"/>
    <mergeCell ref="D55:D56"/>
    <mergeCell ref="E55:F56"/>
    <mergeCell ref="F44:H44"/>
    <mergeCell ref="B45:H45"/>
    <mergeCell ref="B46:H46"/>
    <mergeCell ref="B47:H47"/>
    <mergeCell ref="C49:D49"/>
    <mergeCell ref="E15:F15"/>
    <mergeCell ref="E18:F18"/>
    <mergeCell ref="E19:F19"/>
    <mergeCell ref="F37:H37"/>
    <mergeCell ref="F39:H39"/>
    <mergeCell ref="C7:D7"/>
    <mergeCell ref="C8:D8"/>
    <mergeCell ref="C13:C14"/>
    <mergeCell ref="D13:D14"/>
    <mergeCell ref="E13:F14"/>
    <mergeCell ref="B2:H2"/>
    <mergeCell ref="B3:H3"/>
    <mergeCell ref="B4:H4"/>
    <mergeCell ref="C6:D6"/>
    <mergeCell ref="E230:F230"/>
    <mergeCell ref="E234:F234"/>
    <mergeCell ref="E235:F235"/>
    <mergeCell ref="F249:H249"/>
    <mergeCell ref="F251:H251"/>
    <mergeCell ref="F256:H256"/>
    <mergeCell ref="B218:H218"/>
    <mergeCell ref="B219:H219"/>
    <mergeCell ref="B220:H220"/>
    <mergeCell ref="C222:D222"/>
    <mergeCell ref="C223:D223"/>
    <mergeCell ref="C224:D224"/>
    <mergeCell ref="C228:C229"/>
    <mergeCell ref="D228:D229"/>
    <mergeCell ref="E228:F229"/>
    <mergeCell ref="E271:F271"/>
    <mergeCell ref="E275:F275"/>
    <mergeCell ref="E276:F276"/>
    <mergeCell ref="F289:H289"/>
    <mergeCell ref="F291:H291"/>
    <mergeCell ref="F296:H296"/>
    <mergeCell ref="B259:H259"/>
    <mergeCell ref="B260:H260"/>
    <mergeCell ref="B261:H261"/>
    <mergeCell ref="C263:D263"/>
    <mergeCell ref="C264:D264"/>
    <mergeCell ref="C265:D265"/>
    <mergeCell ref="C269:C270"/>
    <mergeCell ref="D269:D270"/>
    <mergeCell ref="E269:F270"/>
  </mergeCells>
  <pageMargins left="0.95" right="0.45" top="0.75" bottom="0.75" header="0.3" footer="0.3"/>
  <pageSetup paperSize="256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L780"/>
  <sheetViews>
    <sheetView topLeftCell="A763" workbookViewId="0">
      <selection activeCell="G20" sqref="G20"/>
    </sheetView>
  </sheetViews>
  <sheetFormatPr defaultRowHeight="12"/>
  <cols>
    <col min="1" max="1" width="1.85546875" style="250" customWidth="1"/>
    <col min="2" max="2" width="2.85546875" style="250" customWidth="1"/>
    <col min="3" max="3" width="7.28515625" style="250" customWidth="1"/>
    <col min="4" max="4" width="29" style="250" customWidth="1"/>
    <col min="5" max="5" width="6" style="250" customWidth="1"/>
    <col min="6" max="6" width="7" style="250" customWidth="1"/>
    <col min="7" max="7" width="11.7109375" style="250" customWidth="1"/>
    <col min="8" max="8" width="12.5703125" style="250" customWidth="1"/>
    <col min="9" max="9" width="10.140625" style="400" bestFit="1" customWidth="1"/>
    <col min="10" max="10" width="10.28515625" style="250" bestFit="1" customWidth="1"/>
    <col min="11" max="11" width="9.28515625" style="250" bestFit="1" customWidth="1"/>
    <col min="12" max="12" width="10.140625" style="250" bestFit="1" customWidth="1"/>
    <col min="13" max="16384" width="9.140625" style="250"/>
  </cols>
  <sheetData>
    <row r="1" spans="2:9">
      <c r="B1" s="824" t="s">
        <v>54</v>
      </c>
      <c r="C1" s="824"/>
      <c r="D1" s="824"/>
      <c r="E1" s="824"/>
      <c r="F1" s="824"/>
      <c r="G1" s="824"/>
      <c r="H1" s="824"/>
    </row>
    <row r="2" spans="2:9">
      <c r="B2" s="824" t="s">
        <v>55</v>
      </c>
      <c r="C2" s="824"/>
      <c r="D2" s="824"/>
      <c r="E2" s="824"/>
      <c r="F2" s="824"/>
      <c r="G2" s="824"/>
      <c r="H2" s="824"/>
    </row>
    <row r="3" spans="2:9">
      <c r="B3" s="824" t="s">
        <v>914</v>
      </c>
      <c r="C3" s="824"/>
      <c r="D3" s="824"/>
      <c r="E3" s="824"/>
      <c r="F3" s="824"/>
      <c r="G3" s="824"/>
      <c r="H3" s="824"/>
    </row>
    <row r="4" spans="2:9" ht="7.5" customHeight="1">
      <c r="B4" s="249"/>
      <c r="C4" s="78"/>
      <c r="D4" s="249"/>
      <c r="E4" s="548"/>
      <c r="F4" s="548"/>
      <c r="G4" s="249"/>
      <c r="H4" s="249"/>
    </row>
    <row r="5" spans="2:9">
      <c r="B5" s="567">
        <v>1</v>
      </c>
      <c r="C5" s="954" t="s">
        <v>172</v>
      </c>
      <c r="D5" s="954"/>
      <c r="E5" s="250" t="s">
        <v>438</v>
      </c>
      <c r="H5" s="249"/>
    </row>
    <row r="6" spans="2:9" ht="29.25" customHeight="1">
      <c r="B6" s="78">
        <v>2</v>
      </c>
      <c r="C6" s="958" t="s">
        <v>173</v>
      </c>
      <c r="D6" s="958"/>
      <c r="E6" s="959" t="s">
        <v>439</v>
      </c>
      <c r="F6" s="959"/>
      <c r="G6" s="959"/>
      <c r="H6" s="959"/>
    </row>
    <row r="7" spans="2:9">
      <c r="B7" s="567">
        <v>3</v>
      </c>
      <c r="C7" s="954" t="s">
        <v>174</v>
      </c>
      <c r="D7" s="954"/>
      <c r="E7" s="250" t="s">
        <v>536</v>
      </c>
      <c r="H7" s="249"/>
    </row>
    <row r="8" spans="2:9">
      <c r="B8" s="567">
        <v>4</v>
      </c>
      <c r="C8" s="569" t="s">
        <v>183</v>
      </c>
      <c r="D8" s="569"/>
      <c r="E8" s="250" t="s">
        <v>213</v>
      </c>
      <c r="H8" s="249"/>
    </row>
    <row r="9" spans="2:9" ht="15.95" customHeight="1">
      <c r="B9" s="567">
        <v>5</v>
      </c>
      <c r="C9" s="569" t="s">
        <v>184</v>
      </c>
      <c r="D9" s="569"/>
      <c r="E9" s="250" t="s">
        <v>222</v>
      </c>
      <c r="F9" s="826">
        <f>H15</f>
        <v>6154000</v>
      </c>
      <c r="G9" s="826"/>
      <c r="H9" s="249"/>
    </row>
    <row r="10" spans="2:9">
      <c r="B10" s="567"/>
      <c r="C10" s="569" t="s">
        <v>194</v>
      </c>
      <c r="D10" s="569"/>
      <c r="H10" s="249"/>
    </row>
    <row r="11" spans="2:9" ht="24">
      <c r="B11" s="249"/>
      <c r="C11" s="827" t="s">
        <v>56</v>
      </c>
      <c r="D11" s="956" t="s">
        <v>0</v>
      </c>
      <c r="E11" s="828" t="s">
        <v>57</v>
      </c>
      <c r="F11" s="829"/>
      <c r="G11" s="570" t="s">
        <v>58</v>
      </c>
      <c r="H11" s="570" t="s">
        <v>59</v>
      </c>
      <c r="I11" s="636"/>
    </row>
    <row r="12" spans="2:9">
      <c r="B12" s="249"/>
      <c r="C12" s="827"/>
      <c r="D12" s="957"/>
      <c r="E12" s="831"/>
      <c r="F12" s="832"/>
      <c r="G12" s="571" t="s">
        <v>52</v>
      </c>
      <c r="H12" s="571" t="s">
        <v>52</v>
      </c>
    </row>
    <row r="13" spans="2:9">
      <c r="B13" s="249"/>
      <c r="C13" s="550">
        <v>1</v>
      </c>
      <c r="D13" s="553">
        <v>2</v>
      </c>
      <c r="E13" s="814">
        <v>3</v>
      </c>
      <c r="F13" s="815"/>
      <c r="G13" s="539">
        <v>4</v>
      </c>
      <c r="H13" s="571">
        <v>5</v>
      </c>
    </row>
    <row r="14" spans="2:9" ht="26.25" customHeight="1">
      <c r="B14" s="249"/>
      <c r="C14" s="572" t="s">
        <v>450</v>
      </c>
      <c r="D14" s="573" t="s">
        <v>440</v>
      </c>
      <c r="E14" s="389"/>
      <c r="F14" s="527"/>
      <c r="G14" s="574"/>
      <c r="H14" s="390"/>
    </row>
    <row r="15" spans="2:9" ht="18" customHeight="1">
      <c r="B15" s="249"/>
      <c r="C15" s="101"/>
      <c r="D15" s="244"/>
      <c r="E15" s="575" t="s">
        <v>218</v>
      </c>
      <c r="F15" s="575" t="s">
        <v>219</v>
      </c>
      <c r="G15" s="541"/>
      <c r="H15" s="576">
        <f>SUM(H16+H28)</f>
        <v>6154000</v>
      </c>
    </row>
    <row r="16" spans="2:9" ht="18" customHeight="1">
      <c r="B16" s="249"/>
      <c r="C16" s="91">
        <v>2</v>
      </c>
      <c r="D16" s="558" t="s">
        <v>34</v>
      </c>
      <c r="E16" s="952"/>
      <c r="F16" s="953"/>
      <c r="G16" s="577"/>
      <c r="H16" s="90">
        <f>SUM(H17:H27)</f>
        <v>6154000</v>
      </c>
    </row>
    <row r="17" spans="2:9" ht="18" customHeight="1">
      <c r="B17" s="249"/>
      <c r="C17" s="91"/>
      <c r="D17" s="545" t="s">
        <v>416</v>
      </c>
      <c r="E17" s="935">
        <v>429000</v>
      </c>
      <c r="F17" s="937"/>
      <c r="G17" s="577"/>
      <c r="H17" s="90"/>
      <c r="I17" s="400">
        <f>H15*7.5%</f>
        <v>461550</v>
      </c>
    </row>
    <row r="18" spans="2:9">
      <c r="B18" s="249"/>
      <c r="C18" s="91"/>
      <c r="D18" s="546" t="s">
        <v>207</v>
      </c>
      <c r="E18" s="101">
        <v>1</v>
      </c>
      <c r="F18" s="554" t="s">
        <v>64</v>
      </c>
      <c r="G18" s="89">
        <f>E17*25%</f>
        <v>107250</v>
      </c>
      <c r="H18" s="92">
        <f>E18*G18</f>
        <v>107250</v>
      </c>
    </row>
    <row r="19" spans="2:9">
      <c r="B19" s="249"/>
      <c r="C19" s="94"/>
      <c r="D19" s="546" t="s">
        <v>695</v>
      </c>
      <c r="E19" s="101">
        <v>1</v>
      </c>
      <c r="F19" s="554" t="s">
        <v>64</v>
      </c>
      <c r="G19" s="89">
        <f>E17*15%</f>
        <v>64350</v>
      </c>
      <c r="H19" s="92">
        <f>E19*G19</f>
        <v>64350</v>
      </c>
    </row>
    <row r="20" spans="2:9">
      <c r="B20" s="249"/>
      <c r="C20" s="94"/>
      <c r="D20" s="546" t="s">
        <v>70</v>
      </c>
      <c r="E20" s="101">
        <v>6</v>
      </c>
      <c r="F20" s="554" t="s">
        <v>64</v>
      </c>
      <c r="G20" s="89">
        <f>E17*60%/6</f>
        <v>42900</v>
      </c>
      <c r="H20" s="92">
        <f>E20*G20</f>
        <v>257400</v>
      </c>
    </row>
    <row r="21" spans="2:9">
      <c r="B21" s="249"/>
      <c r="C21" s="94"/>
      <c r="D21" s="552" t="s">
        <v>417</v>
      </c>
      <c r="E21" s="101">
        <v>50</v>
      </c>
      <c r="F21" s="554" t="s">
        <v>64</v>
      </c>
      <c r="G21" s="578">
        <v>15000</v>
      </c>
      <c r="H21" s="92">
        <f t="shared" ref="H21:H27" si="0">E21*G21</f>
        <v>750000</v>
      </c>
    </row>
    <row r="22" spans="2:9">
      <c r="B22" s="249"/>
      <c r="C22" s="94"/>
      <c r="D22" s="552" t="s">
        <v>418</v>
      </c>
      <c r="E22" s="101">
        <v>50</v>
      </c>
      <c r="F22" s="554" t="s">
        <v>64</v>
      </c>
      <c r="G22" s="578">
        <v>10000</v>
      </c>
      <c r="H22" s="92">
        <f t="shared" si="0"/>
        <v>500000</v>
      </c>
    </row>
    <row r="23" spans="2:9" ht="18" customHeight="1">
      <c r="B23" s="249"/>
      <c r="C23" s="94"/>
      <c r="D23" s="555" t="s">
        <v>422</v>
      </c>
      <c r="E23" s="554">
        <v>50</v>
      </c>
      <c r="F23" s="554" t="s">
        <v>64</v>
      </c>
      <c r="G23" s="578">
        <v>25000</v>
      </c>
      <c r="H23" s="92">
        <f t="shared" si="0"/>
        <v>1250000</v>
      </c>
    </row>
    <row r="24" spans="2:9" ht="18" customHeight="1">
      <c r="B24" s="249"/>
      <c r="C24" s="94"/>
      <c r="D24" s="557" t="s">
        <v>425</v>
      </c>
      <c r="E24" s="554">
        <v>50</v>
      </c>
      <c r="F24" s="554" t="s">
        <v>64</v>
      </c>
      <c r="G24" s="578">
        <v>12500</v>
      </c>
      <c r="H24" s="92">
        <f t="shared" si="0"/>
        <v>625000</v>
      </c>
    </row>
    <row r="25" spans="2:9" ht="18" customHeight="1">
      <c r="B25" s="249"/>
      <c r="C25" s="94"/>
      <c r="D25" s="557" t="s">
        <v>563</v>
      </c>
      <c r="E25" s="554">
        <v>2</v>
      </c>
      <c r="F25" s="554" t="s">
        <v>64</v>
      </c>
      <c r="G25" s="578">
        <v>500000</v>
      </c>
      <c r="H25" s="92">
        <f t="shared" si="0"/>
        <v>1000000</v>
      </c>
    </row>
    <row r="26" spans="2:9" ht="18" customHeight="1">
      <c r="B26" s="249"/>
      <c r="C26" s="94"/>
      <c r="D26" s="557" t="s">
        <v>511</v>
      </c>
      <c r="E26" s="554">
        <v>30</v>
      </c>
      <c r="F26" s="554" t="s">
        <v>64</v>
      </c>
      <c r="G26" s="578">
        <v>50000</v>
      </c>
      <c r="H26" s="92">
        <f t="shared" si="0"/>
        <v>1500000</v>
      </c>
    </row>
    <row r="27" spans="2:9" ht="18" customHeight="1">
      <c r="B27" s="249"/>
      <c r="C27" s="397"/>
      <c r="D27" s="579" t="s">
        <v>424</v>
      </c>
      <c r="E27" s="94">
        <v>1</v>
      </c>
      <c r="F27" s="554" t="s">
        <v>64</v>
      </c>
      <c r="G27" s="383">
        <v>100000</v>
      </c>
      <c r="H27" s="92">
        <f t="shared" si="0"/>
        <v>100000</v>
      </c>
    </row>
    <row r="28" spans="2:9" ht="18" customHeight="1">
      <c r="B28" s="249"/>
      <c r="C28" s="580">
        <v>3</v>
      </c>
      <c r="D28" s="387" t="s">
        <v>32</v>
      </c>
      <c r="E28" s="581"/>
      <c r="F28" s="551"/>
      <c r="G28" s="383"/>
      <c r="H28" s="265">
        <f>SUM(H29)</f>
        <v>0</v>
      </c>
    </row>
    <row r="29" spans="2:9">
      <c r="B29" s="249"/>
      <c r="C29" s="397"/>
      <c r="D29" s="579"/>
      <c r="E29" s="581"/>
      <c r="F29" s="551"/>
      <c r="G29" s="383"/>
      <c r="H29" s="265"/>
    </row>
    <row r="30" spans="2:9">
      <c r="B30" s="249"/>
      <c r="C30" s="101"/>
      <c r="D30" s="580" t="s">
        <v>221</v>
      </c>
      <c r="E30" s="546"/>
      <c r="F30" s="546"/>
      <c r="G30" s="383"/>
      <c r="H30" s="265">
        <f>H15</f>
        <v>6154000</v>
      </c>
    </row>
    <row r="31" spans="2:9">
      <c r="B31" s="249"/>
      <c r="C31" s="543"/>
      <c r="D31" s="249"/>
      <c r="E31" s="548"/>
      <c r="F31" s="810" t="s">
        <v>998</v>
      </c>
      <c r="G31" s="810"/>
      <c r="H31" s="810"/>
    </row>
    <row r="32" spans="2:9">
      <c r="B32" s="249"/>
      <c r="C32" s="543"/>
      <c r="D32" s="543"/>
      <c r="E32" s="548"/>
      <c r="F32" s="548"/>
      <c r="G32" s="249"/>
      <c r="H32" s="249"/>
    </row>
    <row r="33" spans="2:8">
      <c r="B33" s="249"/>
      <c r="C33" s="249"/>
      <c r="D33" s="78" t="s">
        <v>76</v>
      </c>
      <c r="E33" s="548"/>
      <c r="F33" s="810" t="s">
        <v>77</v>
      </c>
      <c r="G33" s="810"/>
      <c r="H33" s="810"/>
    </row>
    <row r="34" spans="2:8">
      <c r="B34" s="249"/>
      <c r="C34" s="249"/>
      <c r="D34" s="543" t="s">
        <v>78</v>
      </c>
      <c r="E34" s="548"/>
      <c r="F34" s="548"/>
      <c r="G34" s="582"/>
      <c r="H34" s="249"/>
    </row>
    <row r="35" spans="2:8">
      <c r="B35" s="249"/>
      <c r="C35" s="543"/>
      <c r="D35" s="543"/>
      <c r="E35" s="548"/>
      <c r="F35" s="548"/>
      <c r="G35" s="249"/>
      <c r="H35" s="249"/>
    </row>
    <row r="36" spans="2:8">
      <c r="B36" s="249"/>
      <c r="C36" s="543"/>
      <c r="D36" s="543"/>
      <c r="E36" s="548"/>
      <c r="F36" s="548"/>
      <c r="G36" s="249"/>
      <c r="H36" s="249"/>
    </row>
    <row r="37" spans="2:8">
      <c r="B37" s="249"/>
      <c r="C37" s="543"/>
      <c r="D37" s="543"/>
      <c r="E37" s="548"/>
      <c r="F37" s="548"/>
      <c r="G37" s="249"/>
      <c r="H37" s="249"/>
    </row>
    <row r="38" spans="2:8">
      <c r="B38" s="249"/>
      <c r="C38" s="543"/>
      <c r="D38" s="78" t="s">
        <v>51</v>
      </c>
      <c r="E38" s="548"/>
      <c r="F38" s="810" t="s">
        <v>224</v>
      </c>
      <c r="G38" s="810"/>
      <c r="H38" s="810"/>
    </row>
    <row r="39" spans="2:8">
      <c r="B39" s="754"/>
      <c r="C39" s="747"/>
      <c r="D39" s="78"/>
      <c r="E39" s="749"/>
      <c r="F39" s="747"/>
      <c r="G39" s="747"/>
      <c r="H39" s="747"/>
    </row>
    <row r="40" spans="2:8">
      <c r="B40" s="824" t="s">
        <v>54</v>
      </c>
      <c r="C40" s="824"/>
      <c r="D40" s="824"/>
      <c r="E40" s="824"/>
      <c r="F40" s="824"/>
      <c r="G40" s="824"/>
      <c r="H40" s="824"/>
    </row>
    <row r="41" spans="2:8">
      <c r="B41" s="824" t="s">
        <v>55</v>
      </c>
      <c r="C41" s="824"/>
      <c r="D41" s="824"/>
      <c r="E41" s="824"/>
      <c r="F41" s="824"/>
      <c r="G41" s="824"/>
      <c r="H41" s="824"/>
    </row>
    <row r="42" spans="2:8">
      <c r="B42" s="824" t="s">
        <v>914</v>
      </c>
      <c r="C42" s="824"/>
      <c r="D42" s="824"/>
      <c r="E42" s="824"/>
      <c r="F42" s="824"/>
      <c r="G42" s="824"/>
      <c r="H42" s="824"/>
    </row>
    <row r="43" spans="2:8">
      <c r="B43" s="754"/>
      <c r="C43" s="78"/>
      <c r="D43" s="754"/>
      <c r="E43" s="749"/>
      <c r="F43" s="749"/>
      <c r="G43" s="754"/>
      <c r="H43" s="754"/>
    </row>
    <row r="44" spans="2:8">
      <c r="B44" s="567">
        <v>1</v>
      </c>
      <c r="C44" s="954" t="s">
        <v>172</v>
      </c>
      <c r="D44" s="954"/>
      <c r="E44" s="250" t="s">
        <v>438</v>
      </c>
      <c r="H44" s="754"/>
    </row>
    <row r="45" spans="2:8" ht="50.25" customHeight="1">
      <c r="B45" s="78">
        <v>2</v>
      </c>
      <c r="C45" s="958" t="s">
        <v>173</v>
      </c>
      <c r="D45" s="958"/>
      <c r="E45" s="959" t="s">
        <v>1001</v>
      </c>
      <c r="F45" s="959"/>
      <c r="G45" s="959"/>
      <c r="H45" s="959"/>
    </row>
    <row r="46" spans="2:8">
      <c r="B46" s="567">
        <v>3</v>
      </c>
      <c r="C46" s="954" t="s">
        <v>174</v>
      </c>
      <c r="D46" s="954"/>
      <c r="E46" s="250" t="s">
        <v>1002</v>
      </c>
      <c r="H46" s="754"/>
    </row>
    <row r="47" spans="2:8">
      <c r="B47" s="567">
        <v>4</v>
      </c>
      <c r="C47" s="751" t="s">
        <v>183</v>
      </c>
      <c r="D47" s="751"/>
      <c r="E47" s="250" t="s">
        <v>213</v>
      </c>
      <c r="H47" s="754"/>
    </row>
    <row r="48" spans="2:8">
      <c r="B48" s="567">
        <v>5</v>
      </c>
      <c r="C48" s="751" t="s">
        <v>184</v>
      </c>
      <c r="D48" s="751"/>
      <c r="E48" s="250" t="s">
        <v>222</v>
      </c>
      <c r="F48" s="826">
        <f>H53</f>
        <v>20000000</v>
      </c>
      <c r="G48" s="826"/>
      <c r="H48" s="754"/>
    </row>
    <row r="49" spans="2:8">
      <c r="B49" s="567"/>
      <c r="C49" s="751" t="s">
        <v>194</v>
      </c>
      <c r="D49" s="751"/>
      <c r="H49" s="754"/>
    </row>
    <row r="50" spans="2:8" ht="24">
      <c r="B50" s="754"/>
      <c r="C50" s="827" t="s">
        <v>56</v>
      </c>
      <c r="D50" s="956" t="s">
        <v>0</v>
      </c>
      <c r="E50" s="828" t="s">
        <v>57</v>
      </c>
      <c r="F50" s="829"/>
      <c r="G50" s="752" t="s">
        <v>58</v>
      </c>
      <c r="H50" s="752" t="s">
        <v>59</v>
      </c>
    </row>
    <row r="51" spans="2:8">
      <c r="B51" s="754"/>
      <c r="C51" s="827"/>
      <c r="D51" s="957"/>
      <c r="E51" s="831"/>
      <c r="F51" s="832"/>
      <c r="G51" s="753" t="s">
        <v>52</v>
      </c>
      <c r="H51" s="753" t="s">
        <v>52</v>
      </c>
    </row>
    <row r="52" spans="2:8">
      <c r="B52" s="754"/>
      <c r="C52" s="748">
        <v>1</v>
      </c>
      <c r="D52" s="745">
        <v>2</v>
      </c>
      <c r="E52" s="814">
        <v>3</v>
      </c>
      <c r="F52" s="815"/>
      <c r="G52" s="746">
        <v>4</v>
      </c>
      <c r="H52" s="753">
        <v>5</v>
      </c>
    </row>
    <row r="53" spans="2:8" ht="60">
      <c r="B53" s="754"/>
      <c r="C53" s="572" t="s">
        <v>1003</v>
      </c>
      <c r="D53" s="573" t="s">
        <v>1004</v>
      </c>
      <c r="E53" s="765" t="s">
        <v>218</v>
      </c>
      <c r="F53" s="765" t="s">
        <v>219</v>
      </c>
      <c r="G53" s="766"/>
      <c r="H53" s="576">
        <f>H55</f>
        <v>20000000</v>
      </c>
    </row>
    <row r="54" spans="2:8">
      <c r="B54" s="754"/>
      <c r="C54" s="764">
        <v>2</v>
      </c>
      <c r="D54" s="201" t="s">
        <v>34</v>
      </c>
      <c r="E54" s="197"/>
      <c r="F54" s="197"/>
      <c r="G54" s="584"/>
      <c r="H54" s="92">
        <v>0</v>
      </c>
    </row>
    <row r="55" spans="2:8">
      <c r="B55" s="754"/>
      <c r="C55" s="584">
        <v>3</v>
      </c>
      <c r="D55" s="763" t="s">
        <v>32</v>
      </c>
      <c r="E55" s="101"/>
      <c r="F55" s="94"/>
      <c r="G55" s="750"/>
      <c r="H55" s="90">
        <f>H56</f>
        <v>20000000</v>
      </c>
    </row>
    <row r="56" spans="2:8" ht="24">
      <c r="B56" s="754"/>
      <c r="C56" s="94"/>
      <c r="D56" s="579" t="s">
        <v>1006</v>
      </c>
      <c r="E56" s="101">
        <v>1</v>
      </c>
      <c r="F56" s="94" t="s">
        <v>564</v>
      </c>
      <c r="G56" s="92">
        <v>20000000</v>
      </c>
      <c r="H56" s="92">
        <f>SUM(E56*G56)</f>
        <v>20000000</v>
      </c>
    </row>
    <row r="57" spans="2:8">
      <c r="B57" s="754"/>
      <c r="C57" s="94"/>
      <c r="D57" s="580" t="s">
        <v>1005</v>
      </c>
      <c r="E57" s="744"/>
      <c r="F57" s="94"/>
      <c r="G57" s="94"/>
      <c r="H57" s="90">
        <f>H53</f>
        <v>20000000</v>
      </c>
    </row>
    <row r="58" spans="2:8">
      <c r="B58" s="754"/>
      <c r="C58" s="747"/>
      <c r="D58" s="754"/>
      <c r="E58" s="749"/>
      <c r="F58" s="810" t="s">
        <v>998</v>
      </c>
      <c r="G58" s="810"/>
      <c r="H58" s="810"/>
    </row>
    <row r="59" spans="2:8">
      <c r="B59" s="754"/>
      <c r="C59" s="747"/>
      <c r="D59" s="747"/>
      <c r="E59" s="749"/>
      <c r="F59" s="749"/>
      <c r="G59" s="754"/>
      <c r="H59" s="754"/>
    </row>
    <row r="60" spans="2:8">
      <c r="B60" s="754"/>
      <c r="C60" s="747"/>
      <c r="D60" s="78" t="s">
        <v>76</v>
      </c>
      <c r="E60" s="749"/>
      <c r="F60" s="810" t="s">
        <v>77</v>
      </c>
      <c r="G60" s="810"/>
      <c r="H60" s="810"/>
    </row>
    <row r="61" spans="2:8">
      <c r="B61" s="754"/>
      <c r="C61" s="747"/>
      <c r="D61" s="747" t="s">
        <v>78</v>
      </c>
      <c r="E61" s="749"/>
      <c r="F61" s="749"/>
      <c r="G61" s="582"/>
      <c r="H61" s="754"/>
    </row>
    <row r="62" spans="2:8">
      <c r="B62" s="754"/>
      <c r="C62" s="747"/>
      <c r="D62" s="747"/>
      <c r="E62" s="749"/>
      <c r="F62" s="749"/>
      <c r="G62" s="754"/>
      <c r="H62" s="754"/>
    </row>
    <row r="63" spans="2:8">
      <c r="B63" s="754"/>
      <c r="C63" s="747"/>
      <c r="D63" s="747"/>
      <c r="E63" s="749"/>
      <c r="F63" s="749"/>
      <c r="G63" s="754"/>
      <c r="H63" s="754"/>
    </row>
    <row r="64" spans="2:8">
      <c r="B64" s="754"/>
      <c r="C64" s="747"/>
      <c r="D64" s="747"/>
      <c r="E64" s="749"/>
      <c r="F64" s="749"/>
      <c r="G64" s="754"/>
      <c r="H64" s="754"/>
    </row>
    <row r="65" spans="2:9">
      <c r="B65" s="754"/>
      <c r="C65" s="747"/>
      <c r="D65" s="78" t="s">
        <v>51</v>
      </c>
      <c r="E65" s="749"/>
      <c r="F65" s="810" t="s">
        <v>224</v>
      </c>
      <c r="G65" s="810"/>
      <c r="H65" s="810"/>
    </row>
    <row r="66" spans="2:9">
      <c r="B66" s="754"/>
      <c r="C66" s="747"/>
      <c r="D66" s="78"/>
      <c r="E66" s="749"/>
      <c r="F66" s="747"/>
      <c r="G66" s="747"/>
      <c r="H66" s="747"/>
    </row>
    <row r="67" spans="2:9">
      <c r="B67" s="249"/>
      <c r="C67" s="543"/>
      <c r="D67" s="78"/>
      <c r="E67" s="548"/>
      <c r="F67" s="543"/>
      <c r="G67" s="543"/>
      <c r="H67" s="543"/>
    </row>
    <row r="68" spans="2:9">
      <c r="B68" s="824" t="s">
        <v>54</v>
      </c>
      <c r="C68" s="824"/>
      <c r="D68" s="824"/>
      <c r="E68" s="824"/>
      <c r="F68" s="824"/>
      <c r="G68" s="824"/>
      <c r="H68" s="824"/>
    </row>
    <row r="69" spans="2:9">
      <c r="B69" s="824" t="s">
        <v>55</v>
      </c>
      <c r="C69" s="824"/>
      <c r="D69" s="824"/>
      <c r="E69" s="824"/>
      <c r="F69" s="824"/>
      <c r="G69" s="824"/>
      <c r="H69" s="824"/>
    </row>
    <row r="70" spans="2:9">
      <c r="B70" s="824" t="s">
        <v>914</v>
      </c>
      <c r="C70" s="824"/>
      <c r="D70" s="824"/>
      <c r="E70" s="824"/>
      <c r="F70" s="824"/>
      <c r="G70" s="824"/>
      <c r="H70" s="824"/>
    </row>
    <row r="71" spans="2:9" ht="11.25" customHeight="1">
      <c r="B71" s="249"/>
      <c r="C71" s="78"/>
      <c r="D71" s="249"/>
      <c r="E71" s="548"/>
      <c r="F71" s="548"/>
      <c r="G71" s="249"/>
      <c r="H71" s="249"/>
    </row>
    <row r="72" spans="2:9">
      <c r="B72" s="567">
        <v>1</v>
      </c>
      <c r="C72" s="954" t="s">
        <v>172</v>
      </c>
      <c r="D72" s="954"/>
      <c r="E72" s="250" t="s">
        <v>438</v>
      </c>
      <c r="H72" s="249"/>
    </row>
    <row r="73" spans="2:9" ht="47.25" customHeight="1">
      <c r="B73" s="78">
        <v>2</v>
      </c>
      <c r="C73" s="958" t="s">
        <v>173</v>
      </c>
      <c r="D73" s="958"/>
      <c r="E73" s="959" t="s">
        <v>561</v>
      </c>
      <c r="F73" s="959"/>
      <c r="G73" s="959"/>
      <c r="H73" s="959"/>
    </row>
    <row r="74" spans="2:9">
      <c r="B74" s="567">
        <v>3</v>
      </c>
      <c r="C74" s="954" t="s">
        <v>174</v>
      </c>
      <c r="D74" s="954"/>
      <c r="E74" s="250" t="s">
        <v>929</v>
      </c>
      <c r="H74" s="249"/>
    </row>
    <row r="75" spans="2:9">
      <c r="B75" s="567">
        <v>4</v>
      </c>
      <c r="C75" s="569" t="s">
        <v>183</v>
      </c>
      <c r="D75" s="569"/>
      <c r="E75" s="250" t="s">
        <v>213</v>
      </c>
      <c r="H75" s="249"/>
    </row>
    <row r="76" spans="2:9">
      <c r="B76" s="567">
        <v>5</v>
      </c>
      <c r="C76" s="569" t="s">
        <v>184</v>
      </c>
      <c r="D76" s="569"/>
      <c r="E76" s="250" t="s">
        <v>222</v>
      </c>
      <c r="F76" s="826">
        <f>H82</f>
        <v>7807000</v>
      </c>
      <c r="G76" s="826"/>
      <c r="H76" s="249"/>
    </row>
    <row r="77" spans="2:9">
      <c r="B77" s="567"/>
      <c r="C77" s="569" t="s">
        <v>194</v>
      </c>
      <c r="D77" s="569"/>
      <c r="H77" s="249"/>
    </row>
    <row r="78" spans="2:9" ht="24">
      <c r="B78" s="249"/>
      <c r="C78" s="827" t="s">
        <v>56</v>
      </c>
      <c r="D78" s="956" t="s">
        <v>0</v>
      </c>
      <c r="E78" s="828" t="s">
        <v>57</v>
      </c>
      <c r="F78" s="829"/>
      <c r="G78" s="570" t="s">
        <v>58</v>
      </c>
      <c r="H78" s="570" t="s">
        <v>59</v>
      </c>
      <c r="I78" s="636"/>
    </row>
    <row r="79" spans="2:9">
      <c r="B79" s="249"/>
      <c r="C79" s="827"/>
      <c r="D79" s="957"/>
      <c r="E79" s="831"/>
      <c r="F79" s="832"/>
      <c r="G79" s="571" t="s">
        <v>52</v>
      </c>
      <c r="H79" s="571" t="s">
        <v>52</v>
      </c>
    </row>
    <row r="80" spans="2:9">
      <c r="B80" s="249"/>
      <c r="C80" s="550">
        <v>1</v>
      </c>
      <c r="D80" s="553">
        <v>2</v>
      </c>
      <c r="E80" s="814">
        <v>3</v>
      </c>
      <c r="F80" s="815"/>
      <c r="G80" s="549">
        <v>4</v>
      </c>
      <c r="H80" s="571">
        <v>5</v>
      </c>
    </row>
    <row r="81" spans="2:9" ht="42" customHeight="1">
      <c r="B81" s="249"/>
      <c r="C81" s="572" t="s">
        <v>451</v>
      </c>
      <c r="D81" s="583" t="s">
        <v>145</v>
      </c>
      <c r="E81" s="594"/>
      <c r="F81" s="594"/>
      <c r="G81" s="595"/>
      <c r="H81" s="390"/>
    </row>
    <row r="82" spans="2:9">
      <c r="B82" s="249"/>
      <c r="C82" s="101"/>
      <c r="D82" s="244"/>
      <c r="E82" s="575" t="s">
        <v>218</v>
      </c>
      <c r="F82" s="575" t="s">
        <v>219</v>
      </c>
      <c r="G82" s="541"/>
      <c r="H82" s="576">
        <f>SUM(H83+H95)</f>
        <v>7807000</v>
      </c>
    </row>
    <row r="83" spans="2:9">
      <c r="B83" s="249"/>
      <c r="C83" s="91">
        <v>2</v>
      </c>
      <c r="D83" s="558" t="s">
        <v>34</v>
      </c>
      <c r="E83" s="952"/>
      <c r="F83" s="953"/>
      <c r="G83" s="577"/>
      <c r="H83" s="90">
        <f>SUM(H84:H94)</f>
        <v>7807000</v>
      </c>
    </row>
    <row r="84" spans="2:9">
      <c r="B84" s="249"/>
      <c r="C84" s="91"/>
      <c r="D84" s="557" t="s">
        <v>416</v>
      </c>
      <c r="E84" s="935">
        <v>582000</v>
      </c>
      <c r="F84" s="937"/>
      <c r="G84" s="577"/>
      <c r="H84" s="90"/>
      <c r="I84" s="400">
        <f>H82*7.5%</f>
        <v>585525</v>
      </c>
    </row>
    <row r="85" spans="2:9">
      <c r="B85" s="249"/>
      <c r="C85" s="91"/>
      <c r="D85" s="546" t="s">
        <v>207</v>
      </c>
      <c r="E85" s="101">
        <v>1</v>
      </c>
      <c r="F85" s="554" t="s">
        <v>64</v>
      </c>
      <c r="G85" s="89">
        <f>E84*25%</f>
        <v>145500</v>
      </c>
      <c r="H85" s="92">
        <f>E85*G85</f>
        <v>145500</v>
      </c>
    </row>
    <row r="86" spans="2:9">
      <c r="B86" s="249"/>
      <c r="C86" s="94"/>
      <c r="D86" s="546" t="s">
        <v>695</v>
      </c>
      <c r="E86" s="101">
        <v>1</v>
      </c>
      <c r="F86" s="554" t="s">
        <v>64</v>
      </c>
      <c r="G86" s="89">
        <f>E84*15%</f>
        <v>87300</v>
      </c>
      <c r="H86" s="92">
        <f>E86*G86</f>
        <v>87300</v>
      </c>
    </row>
    <row r="87" spans="2:9">
      <c r="B87" s="249"/>
      <c r="C87" s="94"/>
      <c r="D87" s="546" t="s">
        <v>70</v>
      </c>
      <c r="E87" s="101">
        <v>6</v>
      </c>
      <c r="F87" s="554" t="s">
        <v>64</v>
      </c>
      <c r="G87" s="89">
        <f>E84*60%/6</f>
        <v>58200</v>
      </c>
      <c r="H87" s="92">
        <f>E87*G87</f>
        <v>349200</v>
      </c>
    </row>
    <row r="88" spans="2:9">
      <c r="B88" s="249"/>
      <c r="C88" s="94"/>
      <c r="D88" s="552" t="s">
        <v>417</v>
      </c>
      <c r="E88" s="101">
        <v>50</v>
      </c>
      <c r="F88" s="554" t="s">
        <v>64</v>
      </c>
      <c r="G88" s="578">
        <v>15000</v>
      </c>
      <c r="H88" s="92">
        <f t="shared" ref="H88:H94" si="1">E88*G88</f>
        <v>750000</v>
      </c>
    </row>
    <row r="89" spans="2:9">
      <c r="B89" s="249"/>
      <c r="C89" s="94"/>
      <c r="D89" s="552" t="s">
        <v>418</v>
      </c>
      <c r="E89" s="101">
        <v>50</v>
      </c>
      <c r="F89" s="554" t="s">
        <v>64</v>
      </c>
      <c r="G89" s="578">
        <v>10000</v>
      </c>
      <c r="H89" s="92">
        <f t="shared" si="1"/>
        <v>500000</v>
      </c>
    </row>
    <row r="90" spans="2:9">
      <c r="B90" s="249"/>
      <c r="C90" s="94"/>
      <c r="D90" s="555" t="s">
        <v>422</v>
      </c>
      <c r="E90" s="554">
        <v>50</v>
      </c>
      <c r="F90" s="554" t="s">
        <v>64</v>
      </c>
      <c r="G90" s="578">
        <v>25000</v>
      </c>
      <c r="H90" s="92">
        <f t="shared" si="1"/>
        <v>1250000</v>
      </c>
    </row>
    <row r="91" spans="2:9">
      <c r="B91" s="249"/>
      <c r="C91" s="94"/>
      <c r="D91" s="557" t="s">
        <v>425</v>
      </c>
      <c r="E91" s="554">
        <v>50</v>
      </c>
      <c r="F91" s="554" t="s">
        <v>64</v>
      </c>
      <c r="G91" s="578">
        <v>12500</v>
      </c>
      <c r="H91" s="92">
        <f t="shared" si="1"/>
        <v>625000</v>
      </c>
    </row>
    <row r="92" spans="2:9">
      <c r="B92" s="249"/>
      <c r="C92" s="94"/>
      <c r="D92" s="557" t="s">
        <v>513</v>
      </c>
      <c r="E92" s="554">
        <v>3</v>
      </c>
      <c r="F92" s="554" t="s">
        <v>64</v>
      </c>
      <c r="G92" s="578">
        <v>500000</v>
      </c>
      <c r="H92" s="92">
        <f t="shared" si="1"/>
        <v>1500000</v>
      </c>
    </row>
    <row r="93" spans="2:9">
      <c r="B93" s="249"/>
      <c r="C93" s="94"/>
      <c r="D93" s="557" t="s">
        <v>512</v>
      </c>
      <c r="E93" s="554">
        <v>50</v>
      </c>
      <c r="F93" s="554" t="s">
        <v>64</v>
      </c>
      <c r="G93" s="578">
        <v>50000</v>
      </c>
      <c r="H93" s="92">
        <f t="shared" si="1"/>
        <v>2500000</v>
      </c>
    </row>
    <row r="94" spans="2:9">
      <c r="B94" s="249"/>
      <c r="C94" s="397"/>
      <c r="D94" s="579" t="s">
        <v>424</v>
      </c>
      <c r="E94" s="94">
        <v>1</v>
      </c>
      <c r="F94" s="554" t="s">
        <v>64</v>
      </c>
      <c r="G94" s="383">
        <v>100000</v>
      </c>
      <c r="H94" s="92">
        <f t="shared" si="1"/>
        <v>100000</v>
      </c>
    </row>
    <row r="95" spans="2:9">
      <c r="B95" s="249"/>
      <c r="C95" s="580">
        <v>3</v>
      </c>
      <c r="D95" s="387" t="s">
        <v>32</v>
      </c>
      <c r="E95" s="581"/>
      <c r="F95" s="551"/>
      <c r="G95" s="383"/>
      <c r="H95" s="265">
        <f>SUM(H96)</f>
        <v>0</v>
      </c>
    </row>
    <row r="96" spans="2:9">
      <c r="B96" s="249"/>
      <c r="C96" s="397"/>
      <c r="D96" s="579"/>
      <c r="E96" s="581"/>
      <c r="F96" s="551"/>
      <c r="G96" s="383"/>
      <c r="H96" s="265"/>
    </row>
    <row r="97" spans="2:8">
      <c r="B97" s="249"/>
      <c r="C97" s="101"/>
      <c r="D97" s="580" t="s">
        <v>221</v>
      </c>
      <c r="E97" s="546"/>
      <c r="F97" s="546"/>
      <c r="G97" s="383"/>
      <c r="H97" s="265">
        <f>H82</f>
        <v>7807000</v>
      </c>
    </row>
    <row r="98" spans="2:8">
      <c r="B98" s="249"/>
      <c r="C98" s="543"/>
      <c r="D98" s="249"/>
      <c r="E98" s="548"/>
      <c r="F98" s="810" t="s">
        <v>982</v>
      </c>
      <c r="G98" s="810"/>
      <c r="H98" s="810"/>
    </row>
    <row r="99" spans="2:8" ht="9.75" customHeight="1">
      <c r="B99" s="249"/>
      <c r="C99" s="543"/>
      <c r="D99" s="543"/>
      <c r="E99" s="548"/>
      <c r="F99" s="548"/>
      <c r="G99" s="249"/>
      <c r="H99" s="249"/>
    </row>
    <row r="100" spans="2:8">
      <c r="B100" s="249"/>
      <c r="C100" s="249"/>
      <c r="D100" s="78" t="s">
        <v>76</v>
      </c>
      <c r="E100" s="548"/>
      <c r="F100" s="810" t="s">
        <v>77</v>
      </c>
      <c r="G100" s="810"/>
      <c r="H100" s="810"/>
    </row>
    <row r="101" spans="2:8">
      <c r="B101" s="249"/>
      <c r="C101" s="249"/>
      <c r="D101" s="543" t="s">
        <v>78</v>
      </c>
      <c r="E101" s="548"/>
      <c r="F101" s="548"/>
      <c r="G101" s="582"/>
      <c r="H101" s="249"/>
    </row>
    <row r="102" spans="2:8">
      <c r="B102" s="249"/>
      <c r="C102" s="543"/>
      <c r="D102" s="543"/>
      <c r="E102" s="548"/>
      <c r="F102" s="548"/>
      <c r="G102" s="249"/>
      <c r="H102" s="249"/>
    </row>
    <row r="103" spans="2:8">
      <c r="B103" s="249"/>
      <c r="C103" s="543"/>
      <c r="D103" s="543"/>
      <c r="E103" s="548"/>
      <c r="F103" s="548"/>
      <c r="G103" s="249"/>
      <c r="H103" s="249"/>
    </row>
    <row r="104" spans="2:8">
      <c r="B104" s="249"/>
      <c r="C104" s="543"/>
      <c r="D104" s="543"/>
      <c r="E104" s="548"/>
      <c r="F104" s="548"/>
      <c r="G104" s="249"/>
      <c r="H104" s="249"/>
    </row>
    <row r="105" spans="2:8">
      <c r="B105" s="249"/>
      <c r="C105" s="543"/>
      <c r="D105" s="78" t="s">
        <v>51</v>
      </c>
      <c r="E105" s="548"/>
      <c r="F105" s="810" t="s">
        <v>428</v>
      </c>
      <c r="G105" s="810"/>
      <c r="H105" s="810"/>
    </row>
    <row r="106" spans="2:8">
      <c r="B106" s="824" t="s">
        <v>54</v>
      </c>
      <c r="C106" s="824"/>
      <c r="D106" s="824"/>
      <c r="E106" s="824"/>
      <c r="F106" s="824"/>
      <c r="G106" s="824"/>
      <c r="H106" s="824"/>
    </row>
    <row r="107" spans="2:8">
      <c r="B107" s="824" t="s">
        <v>55</v>
      </c>
      <c r="C107" s="824"/>
      <c r="D107" s="824"/>
      <c r="E107" s="824"/>
      <c r="F107" s="824"/>
      <c r="G107" s="824"/>
      <c r="H107" s="824"/>
    </row>
    <row r="108" spans="2:8">
      <c r="B108" s="824" t="s">
        <v>914</v>
      </c>
      <c r="C108" s="824"/>
      <c r="D108" s="824"/>
      <c r="E108" s="824"/>
      <c r="F108" s="824"/>
      <c r="G108" s="824"/>
      <c r="H108" s="824"/>
    </row>
    <row r="109" spans="2:8">
      <c r="B109" s="249"/>
      <c r="C109" s="78"/>
      <c r="D109" s="249"/>
      <c r="E109" s="548"/>
      <c r="F109" s="548"/>
      <c r="G109" s="249"/>
      <c r="H109" s="249"/>
    </row>
    <row r="110" spans="2:8">
      <c r="B110" s="567">
        <v>1</v>
      </c>
      <c r="C110" s="954" t="s">
        <v>172</v>
      </c>
      <c r="D110" s="954"/>
      <c r="E110" s="250" t="s">
        <v>438</v>
      </c>
      <c r="H110" s="249"/>
    </row>
    <row r="111" spans="2:8" ht="42" customHeight="1">
      <c r="B111" s="78">
        <v>2</v>
      </c>
      <c r="C111" s="958" t="s">
        <v>173</v>
      </c>
      <c r="D111" s="958"/>
      <c r="E111" s="959" t="s">
        <v>441</v>
      </c>
      <c r="F111" s="959"/>
      <c r="G111" s="959"/>
      <c r="H111" s="959"/>
    </row>
    <row r="112" spans="2:8">
      <c r="B112" s="567">
        <v>3</v>
      </c>
      <c r="C112" s="954" t="s">
        <v>174</v>
      </c>
      <c r="D112" s="954"/>
      <c r="E112" s="250" t="s">
        <v>538</v>
      </c>
      <c r="H112" s="249"/>
    </row>
    <row r="113" spans="2:9">
      <c r="B113" s="567">
        <v>4</v>
      </c>
      <c r="C113" s="569" t="s">
        <v>183</v>
      </c>
      <c r="D113" s="569"/>
      <c r="E113" s="250" t="s">
        <v>213</v>
      </c>
      <c r="H113" s="249"/>
    </row>
    <row r="114" spans="2:9">
      <c r="B114" s="567">
        <v>5</v>
      </c>
      <c r="C114" s="569" t="s">
        <v>184</v>
      </c>
      <c r="D114" s="569"/>
      <c r="E114" s="250" t="s">
        <v>222</v>
      </c>
      <c r="F114" s="826">
        <f>H120</f>
        <v>7767000</v>
      </c>
      <c r="G114" s="826"/>
      <c r="H114" s="249"/>
    </row>
    <row r="115" spans="2:9">
      <c r="B115" s="567"/>
      <c r="C115" s="569" t="s">
        <v>194</v>
      </c>
      <c r="D115" s="569"/>
      <c r="H115" s="249"/>
    </row>
    <row r="116" spans="2:9" ht="24">
      <c r="B116" s="249"/>
      <c r="C116" s="827" t="s">
        <v>56</v>
      </c>
      <c r="D116" s="956" t="s">
        <v>0</v>
      </c>
      <c r="E116" s="828" t="s">
        <v>57</v>
      </c>
      <c r="F116" s="829"/>
      <c r="G116" s="570" t="s">
        <v>58</v>
      </c>
      <c r="H116" s="570" t="s">
        <v>59</v>
      </c>
      <c r="I116" s="636"/>
    </row>
    <row r="117" spans="2:9">
      <c r="B117" s="249"/>
      <c r="C117" s="827"/>
      <c r="D117" s="957"/>
      <c r="E117" s="831"/>
      <c r="F117" s="832"/>
      <c r="G117" s="571" t="s">
        <v>52</v>
      </c>
      <c r="H117" s="571" t="s">
        <v>52</v>
      </c>
    </row>
    <row r="118" spans="2:9">
      <c r="B118" s="249"/>
      <c r="C118" s="550">
        <v>1</v>
      </c>
      <c r="D118" s="553">
        <v>2</v>
      </c>
      <c r="E118" s="814">
        <v>3</v>
      </c>
      <c r="F118" s="815"/>
      <c r="G118" s="549">
        <v>4</v>
      </c>
      <c r="H118" s="571">
        <v>5</v>
      </c>
    </row>
    <row r="119" spans="2:9" ht="36">
      <c r="B119" s="249"/>
      <c r="C119" s="572" t="s">
        <v>452</v>
      </c>
      <c r="D119" s="583" t="s">
        <v>146</v>
      </c>
      <c r="E119" s="594"/>
      <c r="F119" s="594"/>
      <c r="G119" s="595"/>
      <c r="H119" s="390"/>
    </row>
    <row r="120" spans="2:9">
      <c r="B120" s="249"/>
      <c r="C120" s="101"/>
      <c r="D120" s="244"/>
      <c r="E120" s="575" t="s">
        <v>218</v>
      </c>
      <c r="F120" s="575" t="s">
        <v>219</v>
      </c>
      <c r="G120" s="541"/>
      <c r="H120" s="576">
        <f>SUM(H121+H133)</f>
        <v>7767000</v>
      </c>
    </row>
    <row r="121" spans="2:9">
      <c r="B121" s="249"/>
      <c r="C121" s="91">
        <v>2</v>
      </c>
      <c r="D121" s="558" t="s">
        <v>34</v>
      </c>
      <c r="E121" s="952"/>
      <c r="F121" s="953"/>
      <c r="G121" s="577"/>
      <c r="H121" s="90">
        <f>SUM(H122:H132)</f>
        <v>7767000</v>
      </c>
      <c r="I121" s="624"/>
    </row>
    <row r="122" spans="2:9">
      <c r="B122" s="249"/>
      <c r="C122" s="91"/>
      <c r="D122" s="557" t="s">
        <v>416</v>
      </c>
      <c r="E122" s="935">
        <v>542000</v>
      </c>
      <c r="F122" s="937"/>
      <c r="G122" s="577"/>
      <c r="H122" s="90"/>
      <c r="I122" s="400">
        <f>H120*7.5%</f>
        <v>582525</v>
      </c>
    </row>
    <row r="123" spans="2:9">
      <c r="B123" s="249"/>
      <c r="C123" s="91"/>
      <c r="D123" s="546" t="s">
        <v>207</v>
      </c>
      <c r="E123" s="101">
        <v>1</v>
      </c>
      <c r="F123" s="554" t="s">
        <v>64</v>
      </c>
      <c r="G123" s="89">
        <f>E122*25%</f>
        <v>135500</v>
      </c>
      <c r="H123" s="92">
        <f>E123*G123</f>
        <v>135500</v>
      </c>
    </row>
    <row r="124" spans="2:9">
      <c r="B124" s="249"/>
      <c r="C124" s="94"/>
      <c r="D124" s="546" t="s">
        <v>695</v>
      </c>
      <c r="E124" s="101">
        <v>1</v>
      </c>
      <c r="F124" s="554" t="s">
        <v>64</v>
      </c>
      <c r="G124" s="89">
        <f>E122*15%</f>
        <v>81300</v>
      </c>
      <c r="H124" s="92">
        <f>E124*G124</f>
        <v>81300</v>
      </c>
    </row>
    <row r="125" spans="2:9">
      <c r="B125" s="249"/>
      <c r="C125" s="94"/>
      <c r="D125" s="546" t="s">
        <v>70</v>
      </c>
      <c r="E125" s="101">
        <v>6</v>
      </c>
      <c r="F125" s="554" t="s">
        <v>64</v>
      </c>
      <c r="G125" s="89">
        <f>E122*60%/6</f>
        <v>54200</v>
      </c>
      <c r="H125" s="92">
        <f>E125*G125</f>
        <v>325200</v>
      </c>
    </row>
    <row r="126" spans="2:9">
      <c r="B126" s="249"/>
      <c r="C126" s="94"/>
      <c r="D126" s="552" t="s">
        <v>417</v>
      </c>
      <c r="E126" s="101">
        <v>50</v>
      </c>
      <c r="F126" s="554" t="s">
        <v>64</v>
      </c>
      <c r="G126" s="578">
        <v>15000</v>
      </c>
      <c r="H126" s="92">
        <f t="shared" ref="H126:H132" si="2">E126*G126</f>
        <v>750000</v>
      </c>
    </row>
    <row r="127" spans="2:9">
      <c r="B127" s="249"/>
      <c r="C127" s="94"/>
      <c r="D127" s="552" t="s">
        <v>418</v>
      </c>
      <c r="E127" s="101">
        <v>50</v>
      </c>
      <c r="F127" s="554" t="s">
        <v>64</v>
      </c>
      <c r="G127" s="578">
        <v>10000</v>
      </c>
      <c r="H127" s="92">
        <f t="shared" si="2"/>
        <v>500000</v>
      </c>
    </row>
    <row r="128" spans="2:9">
      <c r="B128" s="249"/>
      <c r="C128" s="94"/>
      <c r="D128" s="555" t="s">
        <v>422</v>
      </c>
      <c r="E128" s="554">
        <v>50</v>
      </c>
      <c r="F128" s="554" t="s">
        <v>64</v>
      </c>
      <c r="G128" s="578">
        <v>25000</v>
      </c>
      <c r="H128" s="92">
        <f t="shared" si="2"/>
        <v>1250000</v>
      </c>
    </row>
    <row r="129" spans="2:8">
      <c r="B129" s="249"/>
      <c r="C129" s="94"/>
      <c r="D129" s="557" t="s">
        <v>425</v>
      </c>
      <c r="E129" s="554">
        <v>50</v>
      </c>
      <c r="F129" s="554" t="s">
        <v>64</v>
      </c>
      <c r="G129" s="578">
        <v>12500</v>
      </c>
      <c r="H129" s="92">
        <f t="shared" si="2"/>
        <v>625000</v>
      </c>
    </row>
    <row r="130" spans="2:8">
      <c r="B130" s="249"/>
      <c r="C130" s="94"/>
      <c r="D130" s="596" t="s">
        <v>522</v>
      </c>
      <c r="E130" s="554">
        <v>3</v>
      </c>
      <c r="F130" s="554" t="s">
        <v>64</v>
      </c>
      <c r="G130" s="578">
        <v>500000</v>
      </c>
      <c r="H130" s="92">
        <f t="shared" si="2"/>
        <v>1500000</v>
      </c>
    </row>
    <row r="131" spans="2:8">
      <c r="B131" s="249"/>
      <c r="C131" s="94"/>
      <c r="D131" s="596" t="s">
        <v>512</v>
      </c>
      <c r="E131" s="554">
        <v>50</v>
      </c>
      <c r="F131" s="554" t="s">
        <v>64</v>
      </c>
      <c r="G131" s="578">
        <v>50000</v>
      </c>
      <c r="H131" s="92">
        <f t="shared" si="2"/>
        <v>2500000</v>
      </c>
    </row>
    <row r="132" spans="2:8">
      <c r="B132" s="249"/>
      <c r="C132" s="397"/>
      <c r="D132" s="579" t="s">
        <v>424</v>
      </c>
      <c r="E132" s="94">
        <v>1</v>
      </c>
      <c r="F132" s="554" t="s">
        <v>64</v>
      </c>
      <c r="G132" s="383">
        <v>100000</v>
      </c>
      <c r="H132" s="92">
        <f t="shared" si="2"/>
        <v>100000</v>
      </c>
    </row>
    <row r="133" spans="2:8">
      <c r="B133" s="249"/>
      <c r="C133" s="580">
        <v>3</v>
      </c>
      <c r="D133" s="387" t="s">
        <v>32</v>
      </c>
      <c r="E133" s="581"/>
      <c r="F133" s="551"/>
      <c r="G133" s="383"/>
      <c r="H133" s="265">
        <f>SUM(H134)</f>
        <v>0</v>
      </c>
    </row>
    <row r="134" spans="2:8">
      <c r="B134" s="249"/>
      <c r="C134" s="397"/>
      <c r="D134" s="579"/>
      <c r="E134" s="581"/>
      <c r="F134" s="551"/>
      <c r="G134" s="383"/>
      <c r="H134" s="265"/>
    </row>
    <row r="135" spans="2:8">
      <c r="B135" s="249"/>
      <c r="C135" s="101"/>
      <c r="D135" s="580" t="s">
        <v>221</v>
      </c>
      <c r="E135" s="546"/>
      <c r="F135" s="546"/>
      <c r="G135" s="383"/>
      <c r="H135" s="265">
        <f>H120</f>
        <v>7767000</v>
      </c>
    </row>
    <row r="136" spans="2:8">
      <c r="B136" s="249"/>
      <c r="C136" s="543"/>
      <c r="D136" s="249"/>
      <c r="E136" s="548"/>
      <c r="F136" s="810" t="s">
        <v>982</v>
      </c>
      <c r="G136" s="810"/>
      <c r="H136" s="810"/>
    </row>
    <row r="137" spans="2:8">
      <c r="B137" s="249"/>
      <c r="C137" s="543"/>
      <c r="D137" s="543"/>
      <c r="E137" s="548"/>
      <c r="F137" s="548"/>
      <c r="G137" s="249"/>
      <c r="H137" s="249"/>
    </row>
    <row r="138" spans="2:8">
      <c r="B138" s="249"/>
      <c r="C138" s="249"/>
      <c r="D138" s="78" t="s">
        <v>76</v>
      </c>
      <c r="E138" s="548"/>
      <c r="F138" s="810" t="s">
        <v>77</v>
      </c>
      <c r="G138" s="810"/>
      <c r="H138" s="810"/>
    </row>
    <row r="139" spans="2:8">
      <c r="B139" s="249"/>
      <c r="C139" s="249"/>
      <c r="D139" s="543" t="s">
        <v>78</v>
      </c>
      <c r="E139" s="548"/>
      <c r="F139" s="548"/>
      <c r="G139" s="582"/>
      <c r="H139" s="249"/>
    </row>
    <row r="140" spans="2:8">
      <c r="B140" s="249"/>
      <c r="C140" s="543"/>
      <c r="D140" s="543"/>
      <c r="E140" s="548"/>
      <c r="F140" s="548"/>
      <c r="G140" s="249"/>
      <c r="H140" s="249"/>
    </row>
    <row r="141" spans="2:8">
      <c r="B141" s="249"/>
      <c r="C141" s="543"/>
      <c r="D141" s="543"/>
      <c r="E141" s="548"/>
      <c r="F141" s="548"/>
      <c r="G141" s="249"/>
      <c r="H141" s="249"/>
    </row>
    <row r="142" spans="2:8">
      <c r="B142" s="249"/>
      <c r="C142" s="543"/>
      <c r="D142" s="543"/>
      <c r="E142" s="548"/>
      <c r="F142" s="548"/>
      <c r="G142" s="249"/>
      <c r="H142" s="249"/>
    </row>
    <row r="143" spans="2:8">
      <c r="B143" s="249"/>
      <c r="C143" s="543"/>
      <c r="D143" s="78" t="s">
        <v>51</v>
      </c>
      <c r="E143" s="548"/>
      <c r="F143" s="810" t="s">
        <v>428</v>
      </c>
      <c r="G143" s="810"/>
      <c r="H143" s="810"/>
    </row>
    <row r="144" spans="2:8">
      <c r="B144" s="824" t="s">
        <v>54</v>
      </c>
      <c r="C144" s="824"/>
      <c r="D144" s="824"/>
      <c r="E144" s="824"/>
      <c r="F144" s="824"/>
      <c r="G144" s="824"/>
      <c r="H144" s="824"/>
    </row>
    <row r="145" spans="2:9">
      <c r="B145" s="824" t="s">
        <v>55</v>
      </c>
      <c r="C145" s="824"/>
      <c r="D145" s="824"/>
      <c r="E145" s="824"/>
      <c r="F145" s="824"/>
      <c r="G145" s="824"/>
      <c r="H145" s="824"/>
    </row>
    <row r="146" spans="2:9">
      <c r="B146" s="824" t="s">
        <v>914</v>
      </c>
      <c r="C146" s="824"/>
      <c r="D146" s="824"/>
      <c r="E146" s="824"/>
      <c r="F146" s="824"/>
      <c r="G146" s="824"/>
      <c r="H146" s="824"/>
    </row>
    <row r="147" spans="2:9" ht="7.5" customHeight="1">
      <c r="B147" s="249"/>
      <c r="C147" s="78"/>
      <c r="D147" s="249"/>
      <c r="E147" s="548"/>
      <c r="F147" s="548"/>
      <c r="G147" s="249"/>
      <c r="H147" s="249"/>
    </row>
    <row r="148" spans="2:9">
      <c r="B148" s="567">
        <v>1</v>
      </c>
      <c r="C148" s="954" t="s">
        <v>172</v>
      </c>
      <c r="D148" s="954"/>
      <c r="E148" s="250" t="s">
        <v>438</v>
      </c>
      <c r="H148" s="249"/>
    </row>
    <row r="149" spans="2:9" ht="30" customHeight="1">
      <c r="B149" s="78">
        <v>2</v>
      </c>
      <c r="C149" s="958" t="s">
        <v>173</v>
      </c>
      <c r="D149" s="958"/>
      <c r="E149" s="959" t="s">
        <v>442</v>
      </c>
      <c r="F149" s="959"/>
      <c r="G149" s="959"/>
      <c r="H149" s="959"/>
    </row>
    <row r="150" spans="2:9">
      <c r="B150" s="567">
        <v>3</v>
      </c>
      <c r="C150" s="954" t="s">
        <v>174</v>
      </c>
      <c r="D150" s="954"/>
      <c r="E150" s="250" t="s">
        <v>925</v>
      </c>
      <c r="H150" s="249"/>
    </row>
    <row r="151" spans="2:9">
      <c r="B151" s="567">
        <v>4</v>
      </c>
      <c r="C151" s="569" t="s">
        <v>183</v>
      </c>
      <c r="D151" s="569"/>
      <c r="E151" s="250" t="s">
        <v>213</v>
      </c>
      <c r="H151" s="249"/>
    </row>
    <row r="152" spans="2:9">
      <c r="B152" s="567">
        <v>5</v>
      </c>
      <c r="C152" s="569" t="s">
        <v>184</v>
      </c>
      <c r="D152" s="569"/>
      <c r="E152" s="250" t="s">
        <v>222</v>
      </c>
      <c r="F152" s="826">
        <f>H158</f>
        <v>7229000</v>
      </c>
      <c r="G152" s="826"/>
      <c r="H152" s="249"/>
    </row>
    <row r="153" spans="2:9">
      <c r="B153" s="567"/>
      <c r="C153" s="569" t="s">
        <v>194</v>
      </c>
      <c r="D153" s="569"/>
      <c r="H153" s="249"/>
    </row>
    <row r="154" spans="2:9" ht="24">
      <c r="B154" s="249"/>
      <c r="C154" s="827" t="s">
        <v>56</v>
      </c>
      <c r="D154" s="956" t="s">
        <v>0</v>
      </c>
      <c r="E154" s="828" t="s">
        <v>57</v>
      </c>
      <c r="F154" s="829"/>
      <c r="G154" s="570" t="s">
        <v>58</v>
      </c>
      <c r="H154" s="570" t="s">
        <v>59</v>
      </c>
      <c r="I154" s="636"/>
    </row>
    <row r="155" spans="2:9">
      <c r="B155" s="249"/>
      <c r="C155" s="827"/>
      <c r="D155" s="957"/>
      <c r="E155" s="831"/>
      <c r="F155" s="832"/>
      <c r="G155" s="571" t="s">
        <v>52</v>
      </c>
      <c r="H155" s="571" t="s">
        <v>52</v>
      </c>
    </row>
    <row r="156" spans="2:9">
      <c r="B156" s="249"/>
      <c r="C156" s="550">
        <v>1</v>
      </c>
      <c r="D156" s="553">
        <v>2</v>
      </c>
      <c r="E156" s="814">
        <v>3</v>
      </c>
      <c r="F156" s="815"/>
      <c r="G156" s="549">
        <v>4</v>
      </c>
      <c r="H156" s="571">
        <v>5</v>
      </c>
    </row>
    <row r="157" spans="2:9" ht="24">
      <c r="B157" s="249"/>
      <c r="C157" s="572" t="s">
        <v>453</v>
      </c>
      <c r="D157" s="583" t="s">
        <v>147</v>
      </c>
      <c r="E157" s="594"/>
      <c r="F157" s="594"/>
      <c r="G157" s="595"/>
      <c r="H157" s="390"/>
    </row>
    <row r="158" spans="2:9">
      <c r="B158" s="249"/>
      <c r="C158" s="101"/>
      <c r="D158" s="244"/>
      <c r="E158" s="575" t="s">
        <v>218</v>
      </c>
      <c r="F158" s="575" t="s">
        <v>219</v>
      </c>
      <c r="G158" s="541"/>
      <c r="H158" s="576">
        <f>SUM(H159+H171)</f>
        <v>7229000</v>
      </c>
    </row>
    <row r="159" spans="2:9">
      <c r="B159" s="249"/>
      <c r="C159" s="91">
        <v>2</v>
      </c>
      <c r="D159" s="558" t="s">
        <v>34</v>
      </c>
      <c r="E159" s="952"/>
      <c r="F159" s="953"/>
      <c r="G159" s="577"/>
      <c r="H159" s="90">
        <f>SUM(H161:H170)</f>
        <v>7229000</v>
      </c>
    </row>
    <row r="160" spans="2:9" ht="21.75" customHeight="1">
      <c r="B160" s="249"/>
      <c r="C160" s="91"/>
      <c r="D160" s="557" t="s">
        <v>416</v>
      </c>
      <c r="E160" s="935">
        <v>504000</v>
      </c>
      <c r="F160" s="937"/>
      <c r="G160" s="577"/>
      <c r="H160" s="90"/>
      <c r="I160" s="400">
        <f>H158*7.5%</f>
        <v>542175</v>
      </c>
    </row>
    <row r="161" spans="2:8">
      <c r="B161" s="249"/>
      <c r="C161" s="91"/>
      <c r="D161" s="546" t="s">
        <v>207</v>
      </c>
      <c r="E161" s="101">
        <v>1</v>
      </c>
      <c r="F161" s="554" t="s">
        <v>64</v>
      </c>
      <c r="G161" s="89">
        <f>E160*25%</f>
        <v>126000</v>
      </c>
      <c r="H161" s="92">
        <f>E161*G161</f>
        <v>126000</v>
      </c>
    </row>
    <row r="162" spans="2:8">
      <c r="B162" s="249"/>
      <c r="C162" s="94"/>
      <c r="D162" s="546" t="s">
        <v>695</v>
      </c>
      <c r="E162" s="101">
        <v>1</v>
      </c>
      <c r="F162" s="554" t="s">
        <v>64</v>
      </c>
      <c r="G162" s="89">
        <f>E160*15%</f>
        <v>75600</v>
      </c>
      <c r="H162" s="92">
        <f>E162*G162</f>
        <v>75600</v>
      </c>
    </row>
    <row r="163" spans="2:8">
      <c r="B163" s="249"/>
      <c r="C163" s="94"/>
      <c r="D163" s="546" t="s">
        <v>70</v>
      </c>
      <c r="E163" s="101">
        <v>6</v>
      </c>
      <c r="F163" s="554" t="s">
        <v>64</v>
      </c>
      <c r="G163" s="89">
        <f>E160*60%/6</f>
        <v>50400</v>
      </c>
      <c r="H163" s="92">
        <f>E163*G163</f>
        <v>302400</v>
      </c>
    </row>
    <row r="164" spans="2:8">
      <c r="B164" s="249"/>
      <c r="C164" s="94"/>
      <c r="D164" s="552" t="s">
        <v>417</v>
      </c>
      <c r="E164" s="101">
        <v>50</v>
      </c>
      <c r="F164" s="554" t="s">
        <v>64</v>
      </c>
      <c r="G164" s="578">
        <v>15000</v>
      </c>
      <c r="H164" s="92">
        <f t="shared" ref="H164:H170" si="3">E164*G164</f>
        <v>750000</v>
      </c>
    </row>
    <row r="165" spans="2:8">
      <c r="B165" s="249"/>
      <c r="C165" s="94"/>
      <c r="D165" s="552" t="s">
        <v>418</v>
      </c>
      <c r="E165" s="101">
        <v>50</v>
      </c>
      <c r="F165" s="554" t="s">
        <v>64</v>
      </c>
      <c r="G165" s="578">
        <v>10000</v>
      </c>
      <c r="H165" s="92">
        <f t="shared" si="3"/>
        <v>500000</v>
      </c>
    </row>
    <row r="166" spans="2:8">
      <c r="B166" s="249"/>
      <c r="C166" s="94"/>
      <c r="D166" s="555" t="s">
        <v>422</v>
      </c>
      <c r="E166" s="554">
        <v>50</v>
      </c>
      <c r="F166" s="554" t="s">
        <v>64</v>
      </c>
      <c r="G166" s="578">
        <v>25000</v>
      </c>
      <c r="H166" s="92">
        <f t="shared" si="3"/>
        <v>1250000</v>
      </c>
    </row>
    <row r="167" spans="2:8">
      <c r="B167" s="249"/>
      <c r="C167" s="94"/>
      <c r="D167" s="557" t="s">
        <v>425</v>
      </c>
      <c r="E167" s="554">
        <v>50</v>
      </c>
      <c r="F167" s="554" t="s">
        <v>64</v>
      </c>
      <c r="G167" s="578">
        <v>12500</v>
      </c>
      <c r="H167" s="92">
        <f t="shared" si="3"/>
        <v>625000</v>
      </c>
    </row>
    <row r="168" spans="2:8">
      <c r="B168" s="249"/>
      <c r="C168" s="94"/>
      <c r="D168" s="557" t="s">
        <v>513</v>
      </c>
      <c r="E168" s="554">
        <v>2</v>
      </c>
      <c r="F168" s="554" t="s">
        <v>64</v>
      </c>
      <c r="G168" s="578">
        <v>500000</v>
      </c>
      <c r="H168" s="92">
        <f t="shared" si="3"/>
        <v>1000000</v>
      </c>
    </row>
    <row r="169" spans="2:8">
      <c r="B169" s="249"/>
      <c r="C169" s="94"/>
      <c r="D169" s="557" t="s">
        <v>512</v>
      </c>
      <c r="E169" s="554">
        <v>50</v>
      </c>
      <c r="F169" s="554" t="s">
        <v>64</v>
      </c>
      <c r="G169" s="578">
        <v>50000</v>
      </c>
      <c r="H169" s="92">
        <f t="shared" si="3"/>
        <v>2500000</v>
      </c>
    </row>
    <row r="170" spans="2:8">
      <c r="B170" s="249"/>
      <c r="C170" s="397"/>
      <c r="D170" s="579" t="s">
        <v>424</v>
      </c>
      <c r="E170" s="94">
        <v>1</v>
      </c>
      <c r="F170" s="554" t="s">
        <v>64</v>
      </c>
      <c r="G170" s="383">
        <v>100000</v>
      </c>
      <c r="H170" s="92">
        <f t="shared" si="3"/>
        <v>100000</v>
      </c>
    </row>
    <row r="171" spans="2:8">
      <c r="B171" s="249"/>
      <c r="C171" s="580">
        <v>3</v>
      </c>
      <c r="D171" s="387" t="s">
        <v>32</v>
      </c>
      <c r="E171" s="581"/>
      <c r="F171" s="551"/>
      <c r="G171" s="383"/>
      <c r="H171" s="265">
        <f>SUM(H172)</f>
        <v>0</v>
      </c>
    </row>
    <row r="172" spans="2:8">
      <c r="B172" s="249"/>
      <c r="C172" s="397"/>
      <c r="D172" s="579"/>
      <c r="E172" s="581"/>
      <c r="F172" s="551"/>
      <c r="G172" s="383"/>
      <c r="H172" s="265"/>
    </row>
    <row r="173" spans="2:8">
      <c r="B173" s="249"/>
      <c r="C173" s="101"/>
      <c r="D173" s="580" t="s">
        <v>221</v>
      </c>
      <c r="E173" s="546"/>
      <c r="F173" s="546"/>
      <c r="G173" s="383"/>
      <c r="H173" s="265">
        <f>H158</f>
        <v>7229000</v>
      </c>
    </row>
    <row r="174" spans="2:8">
      <c r="B174" s="249"/>
      <c r="C174" s="543"/>
      <c r="D174" s="249"/>
      <c r="E174" s="548"/>
      <c r="F174" s="810" t="s">
        <v>982</v>
      </c>
      <c r="G174" s="810"/>
      <c r="H174" s="810"/>
    </row>
    <row r="175" spans="2:8">
      <c r="B175" s="249"/>
      <c r="C175" s="543"/>
      <c r="D175" s="543"/>
      <c r="E175" s="548"/>
      <c r="F175" s="548"/>
      <c r="G175" s="249"/>
      <c r="H175" s="249"/>
    </row>
    <row r="176" spans="2:8">
      <c r="B176" s="249"/>
      <c r="C176" s="249"/>
      <c r="D176" s="78" t="s">
        <v>76</v>
      </c>
      <c r="E176" s="548"/>
      <c r="F176" s="810" t="s">
        <v>77</v>
      </c>
      <c r="G176" s="810"/>
      <c r="H176" s="810"/>
    </row>
    <row r="177" spans="2:8">
      <c r="B177" s="249"/>
      <c r="C177" s="249"/>
      <c r="D177" s="543" t="s">
        <v>78</v>
      </c>
      <c r="E177" s="548"/>
      <c r="F177" s="548"/>
      <c r="G177" s="582"/>
      <c r="H177" s="249"/>
    </row>
    <row r="178" spans="2:8">
      <c r="B178" s="249"/>
      <c r="C178" s="543"/>
      <c r="D178" s="543"/>
      <c r="E178" s="548"/>
      <c r="F178" s="548"/>
      <c r="G178" s="249"/>
      <c r="H178" s="249"/>
    </row>
    <row r="179" spans="2:8">
      <c r="B179" s="249"/>
      <c r="C179" s="543"/>
      <c r="D179" s="543"/>
      <c r="E179" s="548"/>
      <c r="F179" s="548"/>
      <c r="G179" s="249"/>
      <c r="H179" s="249"/>
    </row>
    <row r="180" spans="2:8">
      <c r="B180" s="249"/>
      <c r="C180" s="543"/>
      <c r="D180" s="543"/>
      <c r="E180" s="548"/>
      <c r="F180" s="548"/>
      <c r="G180" s="249"/>
      <c r="H180" s="249"/>
    </row>
    <row r="181" spans="2:8">
      <c r="B181" s="249"/>
      <c r="C181" s="543"/>
      <c r="D181" s="78" t="s">
        <v>51</v>
      </c>
      <c r="E181" s="548"/>
      <c r="F181" s="810" t="s">
        <v>428</v>
      </c>
      <c r="G181" s="810"/>
      <c r="H181" s="810"/>
    </row>
    <row r="183" spans="2:8">
      <c r="B183" s="824" t="s">
        <v>54</v>
      </c>
      <c r="C183" s="824"/>
      <c r="D183" s="824"/>
      <c r="E183" s="824"/>
      <c r="F183" s="824"/>
      <c r="G183" s="824"/>
      <c r="H183" s="824"/>
    </row>
    <row r="184" spans="2:8">
      <c r="B184" s="824" t="s">
        <v>55</v>
      </c>
      <c r="C184" s="824"/>
      <c r="D184" s="824"/>
      <c r="E184" s="824"/>
      <c r="F184" s="824"/>
      <c r="G184" s="824"/>
      <c r="H184" s="824"/>
    </row>
    <row r="185" spans="2:8">
      <c r="B185" s="824" t="s">
        <v>914</v>
      </c>
      <c r="C185" s="824"/>
      <c r="D185" s="824"/>
      <c r="E185" s="824"/>
      <c r="F185" s="824"/>
      <c r="G185" s="824"/>
      <c r="H185" s="824"/>
    </row>
    <row r="186" spans="2:8">
      <c r="B186" s="249"/>
      <c r="C186" s="78"/>
      <c r="D186" s="249"/>
      <c r="E186" s="548"/>
      <c r="F186" s="548"/>
      <c r="G186" s="249"/>
      <c r="H186" s="249"/>
    </row>
    <row r="187" spans="2:8">
      <c r="B187" s="567">
        <v>1</v>
      </c>
      <c r="C187" s="954" t="s">
        <v>172</v>
      </c>
      <c r="D187" s="954"/>
      <c r="E187" s="250" t="s">
        <v>438</v>
      </c>
      <c r="H187" s="249"/>
    </row>
    <row r="188" spans="2:8" ht="32.25" customHeight="1">
      <c r="B188" s="78">
        <v>2</v>
      </c>
      <c r="C188" s="958" t="s">
        <v>173</v>
      </c>
      <c r="D188" s="958"/>
      <c r="E188" s="959" t="s">
        <v>443</v>
      </c>
      <c r="F188" s="959"/>
      <c r="G188" s="959"/>
      <c r="H188" s="959"/>
    </row>
    <row r="189" spans="2:8">
      <c r="B189" s="567">
        <v>3</v>
      </c>
      <c r="C189" s="954" t="s">
        <v>174</v>
      </c>
      <c r="D189" s="954"/>
      <c r="E189" s="250" t="s">
        <v>539</v>
      </c>
      <c r="H189" s="249"/>
    </row>
    <row r="190" spans="2:8">
      <c r="B190" s="567">
        <v>4</v>
      </c>
      <c r="C190" s="569" t="s">
        <v>183</v>
      </c>
      <c r="D190" s="569"/>
      <c r="E190" s="250" t="s">
        <v>213</v>
      </c>
      <c r="H190" s="249"/>
    </row>
    <row r="191" spans="2:8">
      <c r="B191" s="567">
        <v>5</v>
      </c>
      <c r="C191" s="569" t="s">
        <v>184</v>
      </c>
      <c r="D191" s="569"/>
      <c r="E191" s="250" t="s">
        <v>222</v>
      </c>
      <c r="F191" s="826">
        <f>H197</f>
        <v>4945000</v>
      </c>
      <c r="G191" s="826"/>
      <c r="H191" s="249"/>
    </row>
    <row r="192" spans="2:8">
      <c r="B192" s="567"/>
      <c r="C192" s="569" t="s">
        <v>194</v>
      </c>
      <c r="D192" s="569"/>
      <c r="H192" s="249"/>
    </row>
    <row r="193" spans="2:9" ht="24">
      <c r="B193" s="249"/>
      <c r="C193" s="827" t="s">
        <v>56</v>
      </c>
      <c r="D193" s="956" t="s">
        <v>0</v>
      </c>
      <c r="E193" s="828" t="s">
        <v>57</v>
      </c>
      <c r="F193" s="829"/>
      <c r="G193" s="570" t="s">
        <v>58</v>
      </c>
      <c r="H193" s="570" t="s">
        <v>59</v>
      </c>
      <c r="I193" s="636"/>
    </row>
    <row r="194" spans="2:9">
      <c r="B194" s="249"/>
      <c r="C194" s="827"/>
      <c r="D194" s="957"/>
      <c r="E194" s="831"/>
      <c r="F194" s="832"/>
      <c r="G194" s="571" t="s">
        <v>52</v>
      </c>
      <c r="H194" s="571" t="s">
        <v>52</v>
      </c>
    </row>
    <row r="195" spans="2:9">
      <c r="B195" s="249"/>
      <c r="C195" s="550">
        <v>1</v>
      </c>
      <c r="D195" s="553">
        <v>2</v>
      </c>
      <c r="E195" s="814">
        <v>3</v>
      </c>
      <c r="F195" s="815"/>
      <c r="G195" s="549">
        <v>4</v>
      </c>
      <c r="H195" s="571">
        <v>5</v>
      </c>
    </row>
    <row r="196" spans="2:9" ht="24">
      <c r="B196" s="249"/>
      <c r="C196" s="572" t="s">
        <v>454</v>
      </c>
      <c r="D196" s="583" t="s">
        <v>148</v>
      </c>
      <c r="E196" s="594"/>
      <c r="F196" s="594"/>
      <c r="G196" s="595"/>
      <c r="H196" s="390"/>
    </row>
    <row r="197" spans="2:9">
      <c r="B197" s="249"/>
      <c r="C197" s="101"/>
      <c r="D197" s="244"/>
      <c r="E197" s="575" t="s">
        <v>218</v>
      </c>
      <c r="F197" s="575" t="s">
        <v>219</v>
      </c>
      <c r="G197" s="541"/>
      <c r="H197" s="576">
        <f>SUM(H198+H210)</f>
        <v>4945000</v>
      </c>
    </row>
    <row r="198" spans="2:9">
      <c r="B198" s="249"/>
      <c r="C198" s="91">
        <v>2</v>
      </c>
      <c r="D198" s="558" t="s">
        <v>34</v>
      </c>
      <c r="E198" s="952"/>
      <c r="F198" s="953"/>
      <c r="G198" s="577"/>
      <c r="H198" s="90">
        <f>SUM(H200:H209)</f>
        <v>4195000</v>
      </c>
    </row>
    <row r="199" spans="2:9">
      <c r="B199" s="249"/>
      <c r="C199" s="91"/>
      <c r="D199" s="557" t="s">
        <v>416</v>
      </c>
      <c r="E199" s="935">
        <v>345000</v>
      </c>
      <c r="F199" s="937"/>
      <c r="G199" s="577"/>
      <c r="H199" s="90"/>
      <c r="I199" s="400">
        <f>H197*7.5%</f>
        <v>370875</v>
      </c>
    </row>
    <row r="200" spans="2:9">
      <c r="B200" s="249"/>
      <c r="C200" s="91"/>
      <c r="D200" s="546" t="s">
        <v>207</v>
      </c>
      <c r="E200" s="101">
        <v>1</v>
      </c>
      <c r="F200" s="554" t="s">
        <v>64</v>
      </c>
      <c r="G200" s="89">
        <f>E199*25%</f>
        <v>86250</v>
      </c>
      <c r="H200" s="92">
        <f>E200*G200</f>
        <v>86250</v>
      </c>
    </row>
    <row r="201" spans="2:9">
      <c r="B201" s="249"/>
      <c r="C201" s="94"/>
      <c r="D201" s="546" t="s">
        <v>695</v>
      </c>
      <c r="E201" s="101">
        <v>1</v>
      </c>
      <c r="F201" s="554" t="s">
        <v>64</v>
      </c>
      <c r="G201" s="89">
        <f>E199*15%</f>
        <v>51750</v>
      </c>
      <c r="H201" s="92">
        <f>E201*G201</f>
        <v>51750</v>
      </c>
    </row>
    <row r="202" spans="2:9">
      <c r="B202" s="249"/>
      <c r="C202" s="94"/>
      <c r="D202" s="546" t="s">
        <v>70</v>
      </c>
      <c r="E202" s="101">
        <v>6</v>
      </c>
      <c r="F202" s="554" t="s">
        <v>64</v>
      </c>
      <c r="G202" s="89">
        <f>E199*60%/6</f>
        <v>34500</v>
      </c>
      <c r="H202" s="92">
        <f>E202*G202</f>
        <v>207000</v>
      </c>
    </row>
    <row r="203" spans="2:9">
      <c r="B203" s="249"/>
      <c r="C203" s="94"/>
      <c r="D203" s="552" t="s">
        <v>417</v>
      </c>
      <c r="E203" s="101">
        <v>20</v>
      </c>
      <c r="F203" s="554" t="s">
        <v>64</v>
      </c>
      <c r="G203" s="578">
        <v>15000</v>
      </c>
      <c r="H203" s="92">
        <f t="shared" ref="H203:H209" si="4">E203*G203</f>
        <v>300000</v>
      </c>
    </row>
    <row r="204" spans="2:9">
      <c r="B204" s="249"/>
      <c r="C204" s="94"/>
      <c r="D204" s="552" t="s">
        <v>418</v>
      </c>
      <c r="E204" s="101">
        <v>20</v>
      </c>
      <c r="F204" s="554" t="s">
        <v>64</v>
      </c>
      <c r="G204" s="578">
        <v>10000</v>
      </c>
      <c r="H204" s="92">
        <f t="shared" si="4"/>
        <v>200000</v>
      </c>
    </row>
    <row r="205" spans="2:9">
      <c r="B205" s="249"/>
      <c r="C205" s="94"/>
      <c r="D205" s="555" t="s">
        <v>422</v>
      </c>
      <c r="E205" s="554">
        <v>20</v>
      </c>
      <c r="F205" s="554" t="s">
        <v>64</v>
      </c>
      <c r="G205" s="578">
        <v>25000</v>
      </c>
      <c r="H205" s="92">
        <f t="shared" si="4"/>
        <v>500000</v>
      </c>
    </row>
    <row r="206" spans="2:9">
      <c r="B206" s="249"/>
      <c r="C206" s="94"/>
      <c r="D206" s="557" t="s">
        <v>425</v>
      </c>
      <c r="E206" s="554">
        <v>20</v>
      </c>
      <c r="F206" s="554" t="s">
        <v>64</v>
      </c>
      <c r="G206" s="578">
        <v>12500</v>
      </c>
      <c r="H206" s="92">
        <f t="shared" si="4"/>
        <v>250000</v>
      </c>
    </row>
    <row r="207" spans="2:9">
      <c r="B207" s="249"/>
      <c r="C207" s="94"/>
      <c r="D207" s="557" t="s">
        <v>513</v>
      </c>
      <c r="E207" s="554">
        <v>3</v>
      </c>
      <c r="F207" s="554" t="s">
        <v>64</v>
      </c>
      <c r="G207" s="578">
        <v>500000</v>
      </c>
      <c r="H207" s="92">
        <f t="shared" si="4"/>
        <v>1500000</v>
      </c>
    </row>
    <row r="208" spans="2:9">
      <c r="B208" s="249"/>
      <c r="C208" s="94"/>
      <c r="D208" s="557" t="s">
        <v>512</v>
      </c>
      <c r="E208" s="554">
        <v>20</v>
      </c>
      <c r="F208" s="554" t="s">
        <v>64</v>
      </c>
      <c r="G208" s="578">
        <v>50000</v>
      </c>
      <c r="H208" s="92">
        <f t="shared" si="4"/>
        <v>1000000</v>
      </c>
    </row>
    <row r="209" spans="2:8">
      <c r="B209" s="249"/>
      <c r="C209" s="397"/>
      <c r="D209" s="579" t="s">
        <v>424</v>
      </c>
      <c r="E209" s="94">
        <v>1</v>
      </c>
      <c r="F209" s="554" t="s">
        <v>64</v>
      </c>
      <c r="G209" s="383">
        <v>100000</v>
      </c>
      <c r="H209" s="92">
        <f t="shared" si="4"/>
        <v>100000</v>
      </c>
    </row>
    <row r="210" spans="2:8">
      <c r="B210" s="249"/>
      <c r="C210" s="580">
        <v>3</v>
      </c>
      <c r="D210" s="387" t="s">
        <v>32</v>
      </c>
      <c r="E210" s="581"/>
      <c r="F210" s="551"/>
      <c r="G210" s="383"/>
      <c r="H210" s="265">
        <f>SUM(H211)</f>
        <v>750000</v>
      </c>
    </row>
    <row r="211" spans="2:8">
      <c r="B211" s="249"/>
      <c r="C211" s="580"/>
      <c r="D211" s="579" t="s">
        <v>566</v>
      </c>
      <c r="E211" s="94">
        <v>3</v>
      </c>
      <c r="F211" s="94" t="s">
        <v>489</v>
      </c>
      <c r="G211" s="383">
        <v>250000</v>
      </c>
      <c r="H211" s="383">
        <f>SUM(E211*G211)</f>
        <v>750000</v>
      </c>
    </row>
    <row r="212" spans="2:8">
      <c r="B212" s="249"/>
      <c r="C212" s="580"/>
      <c r="D212" s="590"/>
      <c r="E212" s="94"/>
      <c r="F212" s="201"/>
      <c r="G212" s="383"/>
      <c r="H212" s="383"/>
    </row>
    <row r="213" spans="2:8">
      <c r="B213" s="249"/>
      <c r="C213" s="397"/>
      <c r="D213" s="579"/>
      <c r="E213" s="94"/>
      <c r="F213" s="201"/>
      <c r="G213" s="383"/>
      <c r="H213" s="383"/>
    </row>
    <row r="214" spans="2:8">
      <c r="B214" s="249"/>
      <c r="C214" s="101"/>
      <c r="D214" s="580" t="s">
        <v>221</v>
      </c>
      <c r="E214" s="546"/>
      <c r="F214" s="546"/>
      <c r="G214" s="383"/>
      <c r="H214" s="265">
        <f>H197</f>
        <v>4945000</v>
      </c>
    </row>
    <row r="215" spans="2:8">
      <c r="B215" s="249"/>
      <c r="C215" s="543"/>
      <c r="D215" s="249"/>
      <c r="E215" s="548"/>
      <c r="F215" s="810" t="s">
        <v>982</v>
      </c>
      <c r="G215" s="810"/>
      <c r="H215" s="810"/>
    </row>
    <row r="216" spans="2:8">
      <c r="B216" s="249"/>
      <c r="C216" s="543"/>
      <c r="D216" s="543"/>
      <c r="E216" s="548"/>
      <c r="F216" s="548"/>
      <c r="G216" s="249"/>
      <c r="H216" s="249"/>
    </row>
    <row r="217" spans="2:8">
      <c r="B217" s="249"/>
      <c r="C217" s="249"/>
      <c r="D217" s="78" t="s">
        <v>76</v>
      </c>
      <c r="E217" s="548"/>
      <c r="F217" s="810" t="s">
        <v>77</v>
      </c>
      <c r="G217" s="810"/>
      <c r="H217" s="810"/>
    </row>
    <row r="218" spans="2:8">
      <c r="B218" s="249"/>
      <c r="C218" s="249"/>
      <c r="D218" s="543" t="s">
        <v>78</v>
      </c>
      <c r="E218" s="548"/>
      <c r="F218" s="548"/>
      <c r="G218" s="582"/>
      <c r="H218" s="249"/>
    </row>
    <row r="219" spans="2:8">
      <c r="B219" s="249"/>
      <c r="C219" s="543"/>
      <c r="D219" s="543"/>
      <c r="E219" s="548"/>
      <c r="F219" s="548"/>
      <c r="G219" s="249"/>
      <c r="H219" s="249"/>
    </row>
    <row r="220" spans="2:8">
      <c r="B220" s="249"/>
      <c r="C220" s="543"/>
      <c r="D220" s="543"/>
      <c r="E220" s="548"/>
      <c r="F220" s="548"/>
      <c r="G220" s="249"/>
      <c r="H220" s="249"/>
    </row>
    <row r="221" spans="2:8">
      <c r="B221" s="249"/>
      <c r="C221" s="543"/>
      <c r="D221" s="543"/>
      <c r="E221" s="548"/>
      <c r="F221" s="548"/>
      <c r="G221" s="249"/>
      <c r="H221" s="249"/>
    </row>
    <row r="222" spans="2:8">
      <c r="B222" s="249"/>
      <c r="C222" s="543"/>
      <c r="D222" s="78" t="s">
        <v>51</v>
      </c>
      <c r="E222" s="548"/>
      <c r="F222" s="810" t="s">
        <v>428</v>
      </c>
      <c r="G222" s="810"/>
      <c r="H222" s="810"/>
    </row>
    <row r="224" spans="2:8">
      <c r="B224" s="824" t="s">
        <v>54</v>
      </c>
      <c r="C224" s="824"/>
      <c r="D224" s="824"/>
      <c r="E224" s="824"/>
      <c r="F224" s="824"/>
      <c r="G224" s="824"/>
      <c r="H224" s="824"/>
    </row>
    <row r="225" spans="2:10">
      <c r="B225" s="824" t="s">
        <v>55</v>
      </c>
      <c r="C225" s="824"/>
      <c r="D225" s="824"/>
      <c r="E225" s="824"/>
      <c r="F225" s="824"/>
      <c r="G225" s="824"/>
      <c r="H225" s="824"/>
    </row>
    <row r="226" spans="2:10">
      <c r="B226" s="824" t="s">
        <v>914</v>
      </c>
      <c r="C226" s="824"/>
      <c r="D226" s="824"/>
      <c r="E226" s="824"/>
      <c r="F226" s="824"/>
      <c r="G226" s="824"/>
      <c r="H226" s="824"/>
    </row>
    <row r="227" spans="2:10">
      <c r="B227" s="249"/>
      <c r="C227" s="78"/>
      <c r="D227" s="249"/>
      <c r="E227" s="548"/>
      <c r="F227" s="548"/>
      <c r="G227" s="249"/>
      <c r="H227" s="249"/>
    </row>
    <row r="228" spans="2:10">
      <c r="B228" s="567">
        <v>1</v>
      </c>
      <c r="C228" s="954" t="s">
        <v>172</v>
      </c>
      <c r="D228" s="954"/>
      <c r="E228" s="250" t="s">
        <v>438</v>
      </c>
      <c r="H228" s="249"/>
    </row>
    <row r="229" spans="2:10" ht="26.25" customHeight="1">
      <c r="B229" s="78">
        <v>2</v>
      </c>
      <c r="C229" s="958" t="s">
        <v>173</v>
      </c>
      <c r="D229" s="958"/>
      <c r="E229" s="959" t="s">
        <v>444</v>
      </c>
      <c r="F229" s="959"/>
      <c r="G229" s="959"/>
      <c r="H229" s="959"/>
    </row>
    <row r="230" spans="2:10">
      <c r="B230" s="567">
        <v>3</v>
      </c>
      <c r="C230" s="954" t="s">
        <v>174</v>
      </c>
      <c r="D230" s="954"/>
      <c r="E230" s="250" t="s">
        <v>539</v>
      </c>
      <c r="H230" s="249"/>
    </row>
    <row r="231" spans="2:10">
      <c r="B231" s="567">
        <v>4</v>
      </c>
      <c r="C231" s="569" t="s">
        <v>183</v>
      </c>
      <c r="D231" s="569"/>
      <c r="E231" s="250" t="s">
        <v>213</v>
      </c>
      <c r="H231" s="249"/>
    </row>
    <row r="232" spans="2:10">
      <c r="B232" s="567">
        <v>5</v>
      </c>
      <c r="C232" s="569" t="s">
        <v>184</v>
      </c>
      <c r="D232" s="569"/>
      <c r="E232" s="250" t="s">
        <v>222</v>
      </c>
      <c r="G232" s="251">
        <f>H238</f>
        <v>25746000</v>
      </c>
      <c r="H232" s="249"/>
    </row>
    <row r="233" spans="2:10">
      <c r="B233" s="567"/>
      <c r="C233" s="569" t="s">
        <v>194</v>
      </c>
      <c r="D233" s="569"/>
      <c r="H233" s="249"/>
    </row>
    <row r="234" spans="2:10" ht="24">
      <c r="B234" s="249"/>
      <c r="C234" s="827" t="s">
        <v>56</v>
      </c>
      <c r="D234" s="956" t="s">
        <v>0</v>
      </c>
      <c r="E234" s="828" t="s">
        <v>57</v>
      </c>
      <c r="F234" s="829"/>
      <c r="G234" s="570" t="s">
        <v>58</v>
      </c>
      <c r="H234" s="570" t="s">
        <v>59</v>
      </c>
      <c r="I234" s="636"/>
    </row>
    <row r="235" spans="2:10">
      <c r="B235" s="249"/>
      <c r="C235" s="827"/>
      <c r="D235" s="957"/>
      <c r="E235" s="831"/>
      <c r="F235" s="832"/>
      <c r="G235" s="571" t="s">
        <v>52</v>
      </c>
      <c r="H235" s="571" t="s">
        <v>52</v>
      </c>
    </row>
    <row r="236" spans="2:10">
      <c r="B236" s="249"/>
      <c r="C236" s="550">
        <v>1</v>
      </c>
      <c r="D236" s="553">
        <v>2</v>
      </c>
      <c r="E236" s="814">
        <v>3</v>
      </c>
      <c r="F236" s="815"/>
      <c r="G236" s="549">
        <v>4</v>
      </c>
      <c r="H236" s="571">
        <v>5</v>
      </c>
    </row>
    <row r="237" spans="2:10" ht="24">
      <c r="B237" s="249"/>
      <c r="C237" s="572" t="s">
        <v>455</v>
      </c>
      <c r="D237" s="583" t="s">
        <v>149</v>
      </c>
      <c r="E237" s="594"/>
      <c r="F237" s="594"/>
      <c r="G237" s="595"/>
      <c r="H237" s="390"/>
    </row>
    <row r="238" spans="2:10">
      <c r="B238" s="249"/>
      <c r="C238" s="101"/>
      <c r="D238" s="244"/>
      <c r="E238" s="575" t="s">
        <v>218</v>
      </c>
      <c r="F238" s="575" t="s">
        <v>219</v>
      </c>
      <c r="G238" s="541"/>
      <c r="H238" s="576">
        <f>SUM(H239+H252)</f>
        <v>25746000</v>
      </c>
      <c r="J238" s="400">
        <f>H238*7.5%</f>
        <v>1930950</v>
      </c>
    </row>
    <row r="239" spans="2:10">
      <c r="B239" s="249"/>
      <c r="C239" s="91">
        <v>2</v>
      </c>
      <c r="D239" s="558" t="s">
        <v>34</v>
      </c>
      <c r="E239" s="952"/>
      <c r="F239" s="953"/>
      <c r="G239" s="577"/>
      <c r="H239" s="90">
        <f>SUM(H240:H251)</f>
        <v>21246000</v>
      </c>
      <c r="J239" s="400">
        <f>SUM(H238-J238)</f>
        <v>23815050</v>
      </c>
    </row>
    <row r="240" spans="2:10">
      <c r="B240" s="249"/>
      <c r="C240" s="91"/>
      <c r="D240" s="557" t="s">
        <v>416</v>
      </c>
      <c r="E240" s="935">
        <v>1796000</v>
      </c>
      <c r="F240" s="937"/>
      <c r="G240" s="577"/>
      <c r="H240" s="90"/>
      <c r="I240" s="400">
        <f>H238*7.5%</f>
        <v>1930950</v>
      </c>
    </row>
    <row r="241" spans="2:8">
      <c r="B241" s="249"/>
      <c r="C241" s="91"/>
      <c r="D241" s="546" t="s">
        <v>207</v>
      </c>
      <c r="E241" s="101">
        <v>1</v>
      </c>
      <c r="F241" s="554" t="s">
        <v>64</v>
      </c>
      <c r="G241" s="89">
        <f>E240*25%</f>
        <v>449000</v>
      </c>
      <c r="H241" s="92">
        <f>E241*G241</f>
        <v>449000</v>
      </c>
    </row>
    <row r="242" spans="2:8">
      <c r="B242" s="249"/>
      <c r="C242" s="94"/>
      <c r="D242" s="546" t="s">
        <v>695</v>
      </c>
      <c r="E242" s="101">
        <v>1</v>
      </c>
      <c r="F242" s="554" t="s">
        <v>64</v>
      </c>
      <c r="G242" s="89">
        <f>E240*15%</f>
        <v>269400</v>
      </c>
      <c r="H242" s="92">
        <f>E242*G242</f>
        <v>269400</v>
      </c>
    </row>
    <row r="243" spans="2:8">
      <c r="B243" s="249"/>
      <c r="C243" s="94"/>
      <c r="D243" s="546" t="s">
        <v>70</v>
      </c>
      <c r="E243" s="101">
        <v>6</v>
      </c>
      <c r="F243" s="554" t="s">
        <v>64</v>
      </c>
      <c r="G243" s="89">
        <f>E240*60%/6</f>
        <v>179600</v>
      </c>
      <c r="H243" s="92">
        <f>E243*G243</f>
        <v>1077600</v>
      </c>
    </row>
    <row r="244" spans="2:8">
      <c r="B244" s="249"/>
      <c r="C244" s="94"/>
      <c r="D244" s="552" t="s">
        <v>417</v>
      </c>
      <c r="E244" s="101">
        <v>60</v>
      </c>
      <c r="F244" s="554" t="s">
        <v>64</v>
      </c>
      <c r="G244" s="578">
        <v>15000</v>
      </c>
      <c r="H244" s="92">
        <f t="shared" ref="H244:H251" si="5">E244*G244</f>
        <v>900000</v>
      </c>
    </row>
    <row r="245" spans="2:8">
      <c r="B245" s="249"/>
      <c r="C245" s="94"/>
      <c r="D245" s="552" t="s">
        <v>418</v>
      </c>
      <c r="E245" s="101">
        <v>60</v>
      </c>
      <c r="F245" s="554" t="s">
        <v>64</v>
      </c>
      <c r="G245" s="578">
        <v>10000</v>
      </c>
      <c r="H245" s="92">
        <f t="shared" si="5"/>
        <v>600000</v>
      </c>
    </row>
    <row r="246" spans="2:8">
      <c r="B246" s="249"/>
      <c r="C246" s="94"/>
      <c r="D246" s="555" t="s">
        <v>422</v>
      </c>
      <c r="E246" s="554">
        <v>60</v>
      </c>
      <c r="F246" s="554" t="s">
        <v>64</v>
      </c>
      <c r="G246" s="578">
        <v>25000</v>
      </c>
      <c r="H246" s="92">
        <f t="shared" si="5"/>
        <v>1500000</v>
      </c>
    </row>
    <row r="247" spans="2:8">
      <c r="B247" s="249"/>
      <c r="C247" s="94"/>
      <c r="D247" s="557" t="s">
        <v>425</v>
      </c>
      <c r="E247" s="554">
        <v>60</v>
      </c>
      <c r="F247" s="554" t="s">
        <v>64</v>
      </c>
      <c r="G247" s="578">
        <v>12500</v>
      </c>
      <c r="H247" s="92">
        <f t="shared" si="5"/>
        <v>750000</v>
      </c>
    </row>
    <row r="248" spans="2:8">
      <c r="B248" s="249"/>
      <c r="C248" s="94"/>
      <c r="D248" s="557" t="s">
        <v>513</v>
      </c>
      <c r="E248" s="554">
        <v>2</v>
      </c>
      <c r="F248" s="554" t="s">
        <v>64</v>
      </c>
      <c r="G248" s="578">
        <v>300000</v>
      </c>
      <c r="H248" s="92">
        <f t="shared" si="5"/>
        <v>600000</v>
      </c>
    </row>
    <row r="249" spans="2:8">
      <c r="B249" s="249"/>
      <c r="C249" s="94"/>
      <c r="D249" s="557" t="s">
        <v>512</v>
      </c>
      <c r="E249" s="554">
        <v>60</v>
      </c>
      <c r="F249" s="554" t="s">
        <v>64</v>
      </c>
      <c r="G249" s="578">
        <v>50000</v>
      </c>
      <c r="H249" s="92">
        <f t="shared" si="5"/>
        <v>3000000</v>
      </c>
    </row>
    <row r="250" spans="2:8">
      <c r="B250" s="249"/>
      <c r="C250" s="397"/>
      <c r="D250" s="579" t="s">
        <v>424</v>
      </c>
      <c r="E250" s="94">
        <v>1</v>
      </c>
      <c r="F250" s="554" t="s">
        <v>64</v>
      </c>
      <c r="G250" s="383">
        <v>100000</v>
      </c>
      <c r="H250" s="92">
        <f t="shared" si="5"/>
        <v>100000</v>
      </c>
    </row>
    <row r="251" spans="2:8">
      <c r="B251" s="249"/>
      <c r="C251" s="397"/>
      <c r="D251" s="579" t="s">
        <v>518</v>
      </c>
      <c r="E251" s="94">
        <v>60</v>
      </c>
      <c r="F251" s="554" t="s">
        <v>64</v>
      </c>
      <c r="G251" s="383">
        <v>200000</v>
      </c>
      <c r="H251" s="92">
        <f t="shared" si="5"/>
        <v>12000000</v>
      </c>
    </row>
    <row r="252" spans="2:8">
      <c r="B252" s="249"/>
      <c r="C252" s="580">
        <v>3</v>
      </c>
      <c r="D252" s="387" t="s">
        <v>32</v>
      </c>
      <c r="E252" s="581"/>
      <c r="F252" s="551"/>
      <c r="G252" s="383"/>
      <c r="H252" s="265">
        <f>SUM(H253:H255)</f>
        <v>4500000</v>
      </c>
    </row>
    <row r="253" spans="2:8">
      <c r="B253" s="249"/>
      <c r="C253" s="580"/>
      <c r="D253" s="579" t="s">
        <v>514</v>
      </c>
      <c r="E253" s="94">
        <v>1</v>
      </c>
      <c r="F253" s="94" t="s">
        <v>102</v>
      </c>
      <c r="G253" s="383">
        <v>1500000</v>
      </c>
      <c r="H253" s="383">
        <f>SUM(E253*G253)</f>
        <v>1500000</v>
      </c>
    </row>
    <row r="254" spans="2:8">
      <c r="B254" s="249"/>
      <c r="C254" s="580"/>
      <c r="D254" s="579" t="s">
        <v>515</v>
      </c>
      <c r="E254" s="94">
        <v>3</v>
      </c>
      <c r="F254" s="94" t="s">
        <v>516</v>
      </c>
      <c r="G254" s="383">
        <v>500000</v>
      </c>
      <c r="H254" s="383">
        <f t="shared" ref="H254:H255" si="6">SUM(E254*G254)</f>
        <v>1500000</v>
      </c>
    </row>
    <row r="255" spans="2:8">
      <c r="B255" s="249"/>
      <c r="C255" s="580"/>
      <c r="D255" s="579" t="s">
        <v>517</v>
      </c>
      <c r="E255" s="94">
        <v>1</v>
      </c>
      <c r="F255" s="94" t="s">
        <v>102</v>
      </c>
      <c r="G255" s="383">
        <v>1500000</v>
      </c>
      <c r="H255" s="383">
        <f t="shared" si="6"/>
        <v>1500000</v>
      </c>
    </row>
    <row r="256" spans="2:8">
      <c r="B256" s="249"/>
      <c r="C256" s="101"/>
      <c r="D256" s="580" t="s">
        <v>221</v>
      </c>
      <c r="E256" s="546"/>
      <c r="F256" s="546"/>
      <c r="G256" s="383"/>
      <c r="H256" s="265">
        <f>H238</f>
        <v>25746000</v>
      </c>
    </row>
    <row r="257" spans="2:8">
      <c r="B257" s="249"/>
      <c r="C257" s="543"/>
      <c r="D257" s="249"/>
      <c r="E257" s="548"/>
      <c r="F257" s="810" t="s">
        <v>982</v>
      </c>
      <c r="G257" s="810"/>
      <c r="H257" s="810"/>
    </row>
    <row r="258" spans="2:8">
      <c r="B258" s="249"/>
      <c r="C258" s="249"/>
      <c r="D258" s="78" t="s">
        <v>76</v>
      </c>
      <c r="E258" s="548"/>
      <c r="F258" s="810" t="s">
        <v>77</v>
      </c>
      <c r="G258" s="810"/>
      <c r="H258" s="810"/>
    </row>
    <row r="259" spans="2:8">
      <c r="B259" s="249"/>
      <c r="C259" s="249"/>
      <c r="D259" s="543" t="s">
        <v>78</v>
      </c>
      <c r="E259" s="548"/>
      <c r="F259" s="548"/>
      <c r="G259" s="582"/>
      <c r="H259" s="249"/>
    </row>
    <row r="260" spans="2:8">
      <c r="B260" s="249"/>
      <c r="C260" s="543"/>
      <c r="D260" s="543"/>
      <c r="E260" s="548"/>
      <c r="F260" s="548"/>
      <c r="G260" s="249"/>
      <c r="H260" s="249"/>
    </row>
    <row r="261" spans="2:8">
      <c r="B261" s="249"/>
      <c r="C261" s="543"/>
      <c r="D261" s="543"/>
      <c r="E261" s="548"/>
      <c r="F261" s="548"/>
      <c r="G261" s="249"/>
      <c r="H261" s="249"/>
    </row>
    <row r="262" spans="2:8">
      <c r="B262" s="249"/>
      <c r="C262" s="543"/>
      <c r="D262" s="543"/>
      <c r="E262" s="548"/>
      <c r="F262" s="548"/>
      <c r="G262" s="249"/>
      <c r="H262" s="249"/>
    </row>
    <row r="263" spans="2:8">
      <c r="B263" s="249"/>
      <c r="C263" s="543"/>
      <c r="D263" s="78" t="s">
        <v>51</v>
      </c>
      <c r="E263" s="548"/>
      <c r="F263" s="810" t="s">
        <v>428</v>
      </c>
      <c r="G263" s="810"/>
      <c r="H263" s="810"/>
    </row>
    <row r="266" spans="2:8">
      <c r="B266" s="824" t="s">
        <v>54</v>
      </c>
      <c r="C266" s="824"/>
      <c r="D266" s="824"/>
      <c r="E266" s="824"/>
      <c r="F266" s="824"/>
      <c r="G266" s="824"/>
      <c r="H266" s="824"/>
    </row>
    <row r="267" spans="2:8">
      <c r="B267" s="824" t="s">
        <v>55</v>
      </c>
      <c r="C267" s="824"/>
      <c r="D267" s="824"/>
      <c r="E267" s="824"/>
      <c r="F267" s="824"/>
      <c r="G267" s="824"/>
      <c r="H267" s="824"/>
    </row>
    <row r="268" spans="2:8">
      <c r="B268" s="824" t="s">
        <v>914</v>
      </c>
      <c r="C268" s="824"/>
      <c r="D268" s="824"/>
      <c r="E268" s="824"/>
      <c r="F268" s="824"/>
      <c r="G268" s="824"/>
      <c r="H268" s="824"/>
    </row>
    <row r="269" spans="2:8">
      <c r="B269" s="249"/>
      <c r="C269" s="78"/>
      <c r="D269" s="249"/>
      <c r="E269" s="548"/>
      <c r="F269" s="548"/>
      <c r="G269" s="249"/>
      <c r="H269" s="249"/>
    </row>
    <row r="270" spans="2:8">
      <c r="B270" s="567">
        <v>1</v>
      </c>
      <c r="C270" s="954" t="s">
        <v>172</v>
      </c>
      <c r="D270" s="954"/>
      <c r="E270" s="250" t="s">
        <v>438</v>
      </c>
      <c r="H270" s="249"/>
    </row>
    <row r="271" spans="2:8">
      <c r="B271" s="78">
        <v>2</v>
      </c>
      <c r="C271" s="958" t="s">
        <v>173</v>
      </c>
      <c r="D271" s="958"/>
      <c r="E271" s="959" t="s">
        <v>445</v>
      </c>
      <c r="F271" s="959"/>
      <c r="G271" s="959"/>
      <c r="H271" s="959"/>
    </row>
    <row r="272" spans="2:8">
      <c r="B272" s="567">
        <v>3</v>
      </c>
      <c r="C272" s="954" t="s">
        <v>174</v>
      </c>
      <c r="D272" s="954"/>
      <c r="E272" s="250" t="s">
        <v>540</v>
      </c>
      <c r="H272" s="249"/>
    </row>
    <row r="273" spans="2:9">
      <c r="B273" s="567">
        <v>4</v>
      </c>
      <c r="C273" s="569" t="s">
        <v>183</v>
      </c>
      <c r="D273" s="569"/>
      <c r="E273" s="250" t="s">
        <v>213</v>
      </c>
      <c r="H273" s="249"/>
    </row>
    <row r="274" spans="2:9">
      <c r="B274" s="567">
        <v>5</v>
      </c>
      <c r="C274" s="569" t="s">
        <v>184</v>
      </c>
      <c r="D274" s="569"/>
      <c r="E274" s="250" t="s">
        <v>222</v>
      </c>
      <c r="F274" s="826">
        <f>H280</f>
        <v>10696000</v>
      </c>
      <c r="G274" s="826"/>
      <c r="H274" s="249"/>
    </row>
    <row r="275" spans="2:9">
      <c r="B275" s="567"/>
      <c r="C275" s="569" t="s">
        <v>194</v>
      </c>
      <c r="D275" s="569"/>
      <c r="H275" s="249"/>
    </row>
    <row r="276" spans="2:9" ht="24">
      <c r="B276" s="249"/>
      <c r="C276" s="827" t="s">
        <v>56</v>
      </c>
      <c r="D276" s="956" t="s">
        <v>0</v>
      </c>
      <c r="E276" s="828" t="s">
        <v>57</v>
      </c>
      <c r="F276" s="829"/>
      <c r="G276" s="570" t="s">
        <v>58</v>
      </c>
      <c r="H276" s="570" t="s">
        <v>59</v>
      </c>
      <c r="I276" s="636"/>
    </row>
    <row r="277" spans="2:9">
      <c r="B277" s="249"/>
      <c r="C277" s="827"/>
      <c r="D277" s="957"/>
      <c r="E277" s="831"/>
      <c r="F277" s="832"/>
      <c r="G277" s="571" t="s">
        <v>52</v>
      </c>
      <c r="H277" s="571" t="s">
        <v>52</v>
      </c>
    </row>
    <row r="278" spans="2:9">
      <c r="B278" s="249"/>
      <c r="C278" s="550">
        <v>1</v>
      </c>
      <c r="D278" s="553">
        <v>2</v>
      </c>
      <c r="E278" s="814">
        <v>3</v>
      </c>
      <c r="F278" s="815"/>
      <c r="G278" s="549">
        <v>4</v>
      </c>
      <c r="H278" s="571">
        <v>5</v>
      </c>
    </row>
    <row r="279" spans="2:9" ht="24">
      <c r="B279" s="249"/>
      <c r="C279" s="572" t="s">
        <v>456</v>
      </c>
      <c r="D279" s="583" t="s">
        <v>150</v>
      </c>
      <c r="E279" s="594"/>
      <c r="F279" s="594"/>
      <c r="G279" s="595"/>
      <c r="H279" s="390"/>
    </row>
    <row r="280" spans="2:9">
      <c r="B280" s="249"/>
      <c r="C280" s="101"/>
      <c r="D280" s="244"/>
      <c r="E280" s="575" t="s">
        <v>218</v>
      </c>
      <c r="F280" s="575" t="s">
        <v>219</v>
      </c>
      <c r="G280" s="541"/>
      <c r="H280" s="576">
        <f>SUM(H281+H293)</f>
        <v>10696000</v>
      </c>
    </row>
    <row r="281" spans="2:9">
      <c r="B281" s="249"/>
      <c r="C281" s="91">
        <v>2</v>
      </c>
      <c r="D281" s="558" t="s">
        <v>34</v>
      </c>
      <c r="E281" s="952"/>
      <c r="F281" s="953"/>
      <c r="G281" s="577"/>
      <c r="H281" s="90">
        <f>SUM(H283:H292)</f>
        <v>8346000</v>
      </c>
    </row>
    <row r="282" spans="2:9">
      <c r="B282" s="249"/>
      <c r="C282" s="91"/>
      <c r="D282" s="557" t="s">
        <v>416</v>
      </c>
      <c r="E282" s="935">
        <v>746000</v>
      </c>
      <c r="F282" s="937"/>
      <c r="G282" s="577"/>
      <c r="H282" s="90"/>
      <c r="I282" s="400">
        <f>H280*7.5%</f>
        <v>802200</v>
      </c>
    </row>
    <row r="283" spans="2:9">
      <c r="B283" s="249"/>
      <c r="C283" s="91"/>
      <c r="D283" s="546" t="s">
        <v>207</v>
      </c>
      <c r="E283" s="101">
        <v>1</v>
      </c>
      <c r="F283" s="554" t="s">
        <v>64</v>
      </c>
      <c r="G283" s="89">
        <f>E282*25%</f>
        <v>186500</v>
      </c>
      <c r="H283" s="92">
        <f>E283*G283</f>
        <v>186500</v>
      </c>
    </row>
    <row r="284" spans="2:9">
      <c r="B284" s="249"/>
      <c r="C284" s="94"/>
      <c r="D284" s="546" t="s">
        <v>697</v>
      </c>
      <c r="E284" s="101">
        <v>1</v>
      </c>
      <c r="F284" s="554" t="s">
        <v>64</v>
      </c>
      <c r="G284" s="89">
        <f>E282*15%</f>
        <v>111900</v>
      </c>
      <c r="H284" s="92">
        <f>E284*G284</f>
        <v>111900</v>
      </c>
    </row>
    <row r="285" spans="2:9">
      <c r="B285" s="249"/>
      <c r="C285" s="94"/>
      <c r="D285" s="546" t="s">
        <v>70</v>
      </c>
      <c r="E285" s="101">
        <v>6</v>
      </c>
      <c r="F285" s="554" t="s">
        <v>64</v>
      </c>
      <c r="G285" s="89">
        <f>E282*60%/6</f>
        <v>74600</v>
      </c>
      <c r="H285" s="92">
        <f>E285*G285</f>
        <v>447600</v>
      </c>
    </row>
    <row r="286" spans="2:9">
      <c r="B286" s="249"/>
      <c r="C286" s="94"/>
      <c r="D286" s="552" t="s">
        <v>417</v>
      </c>
      <c r="E286" s="101">
        <v>50</v>
      </c>
      <c r="F286" s="554" t="s">
        <v>64</v>
      </c>
      <c r="G286" s="578">
        <v>15000</v>
      </c>
      <c r="H286" s="92">
        <f t="shared" ref="H286:H292" si="7">E286*G286</f>
        <v>750000</v>
      </c>
    </row>
    <row r="287" spans="2:9">
      <c r="B287" s="249"/>
      <c r="C287" s="94"/>
      <c r="D287" s="552" t="s">
        <v>418</v>
      </c>
      <c r="E287" s="101">
        <v>50</v>
      </c>
      <c r="F287" s="554" t="s">
        <v>64</v>
      </c>
      <c r="G287" s="578">
        <v>10000</v>
      </c>
      <c r="H287" s="92">
        <f t="shared" si="7"/>
        <v>500000</v>
      </c>
    </row>
    <row r="288" spans="2:9">
      <c r="B288" s="249"/>
      <c r="C288" s="94"/>
      <c r="D288" s="555" t="s">
        <v>422</v>
      </c>
      <c r="E288" s="554">
        <v>60</v>
      </c>
      <c r="F288" s="554" t="s">
        <v>64</v>
      </c>
      <c r="G288" s="578">
        <v>25000</v>
      </c>
      <c r="H288" s="92">
        <f t="shared" si="7"/>
        <v>1500000</v>
      </c>
    </row>
    <row r="289" spans="2:8">
      <c r="B289" s="249"/>
      <c r="C289" s="94"/>
      <c r="D289" s="557" t="s">
        <v>425</v>
      </c>
      <c r="E289" s="554">
        <v>60</v>
      </c>
      <c r="F289" s="554" t="s">
        <v>64</v>
      </c>
      <c r="G289" s="578">
        <v>12500</v>
      </c>
      <c r="H289" s="92">
        <f t="shared" si="7"/>
        <v>750000</v>
      </c>
    </row>
    <row r="290" spans="2:8">
      <c r="B290" s="249"/>
      <c r="C290" s="94"/>
      <c r="D290" s="596" t="s">
        <v>521</v>
      </c>
      <c r="E290" s="554">
        <v>3</v>
      </c>
      <c r="F290" s="554" t="s">
        <v>64</v>
      </c>
      <c r="G290" s="578">
        <v>500000</v>
      </c>
      <c r="H290" s="92">
        <f t="shared" si="7"/>
        <v>1500000</v>
      </c>
    </row>
    <row r="291" spans="2:8">
      <c r="B291" s="249"/>
      <c r="C291" s="94"/>
      <c r="D291" s="596" t="s">
        <v>512</v>
      </c>
      <c r="E291" s="554">
        <v>50</v>
      </c>
      <c r="F291" s="554" t="s">
        <v>64</v>
      </c>
      <c r="G291" s="578">
        <v>50000</v>
      </c>
      <c r="H291" s="92">
        <f t="shared" si="7"/>
        <v>2500000</v>
      </c>
    </row>
    <row r="292" spans="2:8">
      <c r="B292" s="249"/>
      <c r="C292" s="397"/>
      <c r="D292" s="579" t="s">
        <v>424</v>
      </c>
      <c r="E292" s="94">
        <v>1</v>
      </c>
      <c r="F292" s="554" t="s">
        <v>64</v>
      </c>
      <c r="G292" s="383">
        <v>100000</v>
      </c>
      <c r="H292" s="92">
        <f t="shared" si="7"/>
        <v>100000</v>
      </c>
    </row>
    <row r="293" spans="2:8">
      <c r="B293" s="249"/>
      <c r="C293" s="580">
        <v>3</v>
      </c>
      <c r="D293" s="387" t="s">
        <v>32</v>
      </c>
      <c r="E293" s="581"/>
      <c r="F293" s="551"/>
      <c r="G293" s="383"/>
      <c r="H293" s="265">
        <f>SUM(H295)</f>
        <v>2350000</v>
      </c>
    </row>
    <row r="294" spans="2:8">
      <c r="B294" s="249"/>
      <c r="C294" s="580"/>
      <c r="D294" s="579" t="s">
        <v>567</v>
      </c>
      <c r="E294" s="94"/>
      <c r="F294" s="94" t="s">
        <v>244</v>
      </c>
      <c r="G294" s="383">
        <v>60000</v>
      </c>
      <c r="H294" s="383">
        <f>SUM(E294*G294)</f>
        <v>0</v>
      </c>
    </row>
    <row r="295" spans="2:8" ht="24">
      <c r="B295" s="249"/>
      <c r="C295" s="397"/>
      <c r="D295" s="579" t="s">
        <v>568</v>
      </c>
      <c r="E295" s="94">
        <v>100</v>
      </c>
      <c r="F295" s="94" t="s">
        <v>251</v>
      </c>
      <c r="G295" s="383">
        <v>23500</v>
      </c>
      <c r="H295" s="383">
        <f>SUM(E295*G295)</f>
        <v>2350000</v>
      </c>
    </row>
    <row r="296" spans="2:8">
      <c r="B296" s="249"/>
      <c r="C296" s="101"/>
      <c r="D296" s="580" t="s">
        <v>221</v>
      </c>
      <c r="E296" s="546"/>
      <c r="F296" s="546"/>
      <c r="G296" s="383"/>
      <c r="H296" s="265">
        <f>H280</f>
        <v>10696000</v>
      </c>
    </row>
    <row r="297" spans="2:8">
      <c r="B297" s="249"/>
      <c r="C297" s="543"/>
      <c r="D297" s="249"/>
      <c r="E297" s="548"/>
      <c r="F297" s="810" t="s">
        <v>982</v>
      </c>
      <c r="G297" s="810"/>
      <c r="H297" s="810"/>
    </row>
    <row r="298" spans="2:8">
      <c r="B298" s="249"/>
      <c r="C298" s="249"/>
      <c r="D298" s="78" t="s">
        <v>76</v>
      </c>
      <c r="E298" s="548"/>
      <c r="F298" s="810" t="s">
        <v>77</v>
      </c>
      <c r="G298" s="810"/>
      <c r="H298" s="810"/>
    </row>
    <row r="299" spans="2:8">
      <c r="B299" s="249"/>
      <c r="C299" s="249"/>
      <c r="D299" s="543" t="s">
        <v>78</v>
      </c>
      <c r="E299" s="548"/>
      <c r="F299" s="548"/>
      <c r="G299" s="582"/>
      <c r="H299" s="249"/>
    </row>
    <row r="300" spans="2:8">
      <c r="B300" s="249"/>
      <c r="C300" s="543"/>
      <c r="D300" s="543"/>
      <c r="E300" s="548"/>
      <c r="F300" s="548"/>
      <c r="G300" s="249"/>
      <c r="H300" s="249"/>
    </row>
    <row r="301" spans="2:8">
      <c r="B301" s="249"/>
      <c r="C301" s="543"/>
      <c r="D301" s="543"/>
      <c r="E301" s="548"/>
      <c r="F301" s="548"/>
      <c r="G301" s="249"/>
      <c r="H301" s="249"/>
    </row>
    <row r="302" spans="2:8">
      <c r="B302" s="249"/>
      <c r="C302" s="543"/>
      <c r="D302" s="543"/>
      <c r="E302" s="548"/>
      <c r="F302" s="548"/>
      <c r="G302" s="249"/>
      <c r="H302" s="249"/>
    </row>
    <row r="303" spans="2:8">
      <c r="B303" s="249"/>
      <c r="C303" s="543"/>
      <c r="D303" s="78" t="s">
        <v>51</v>
      </c>
      <c r="E303" s="548"/>
      <c r="F303" s="810" t="s">
        <v>225</v>
      </c>
      <c r="G303" s="810"/>
      <c r="H303" s="810"/>
    </row>
    <row r="306" spans="2:9">
      <c r="B306" s="824" t="s">
        <v>54</v>
      </c>
      <c r="C306" s="824"/>
      <c r="D306" s="824"/>
      <c r="E306" s="824"/>
      <c r="F306" s="824"/>
      <c r="G306" s="824"/>
      <c r="H306" s="824"/>
    </row>
    <row r="307" spans="2:9">
      <c r="B307" s="824" t="s">
        <v>55</v>
      </c>
      <c r="C307" s="824"/>
      <c r="D307" s="824"/>
      <c r="E307" s="824"/>
      <c r="F307" s="824"/>
      <c r="G307" s="824"/>
      <c r="H307" s="824"/>
    </row>
    <row r="308" spans="2:9">
      <c r="B308" s="824" t="s">
        <v>914</v>
      </c>
      <c r="C308" s="824"/>
      <c r="D308" s="824"/>
      <c r="E308" s="824"/>
      <c r="F308" s="824"/>
      <c r="G308" s="824"/>
      <c r="H308" s="824"/>
    </row>
    <row r="309" spans="2:9">
      <c r="B309" s="249"/>
      <c r="C309" s="78"/>
      <c r="D309" s="249"/>
      <c r="E309" s="548"/>
      <c r="F309" s="548"/>
      <c r="G309" s="249"/>
      <c r="H309" s="249"/>
    </row>
    <row r="310" spans="2:9">
      <c r="B310" s="567">
        <v>1</v>
      </c>
      <c r="C310" s="954" t="s">
        <v>172</v>
      </c>
      <c r="D310" s="954"/>
      <c r="E310" s="250" t="s">
        <v>438</v>
      </c>
      <c r="H310" s="249"/>
    </row>
    <row r="311" spans="2:9" ht="29.25" customHeight="1">
      <c r="B311" s="78">
        <v>2</v>
      </c>
      <c r="C311" s="958" t="s">
        <v>173</v>
      </c>
      <c r="D311" s="958"/>
      <c r="E311" s="959" t="s">
        <v>446</v>
      </c>
      <c r="F311" s="959"/>
      <c r="G311" s="959"/>
      <c r="H311" s="959"/>
    </row>
    <row r="312" spans="2:9">
      <c r="B312" s="567">
        <v>3</v>
      </c>
      <c r="C312" s="954" t="s">
        <v>174</v>
      </c>
      <c r="D312" s="954"/>
      <c r="E312" s="250" t="s">
        <v>537</v>
      </c>
      <c r="H312" s="249"/>
    </row>
    <row r="313" spans="2:9">
      <c r="B313" s="567">
        <v>4</v>
      </c>
      <c r="C313" s="569" t="s">
        <v>183</v>
      </c>
      <c r="D313" s="569"/>
      <c r="E313" s="250" t="s">
        <v>213</v>
      </c>
      <c r="H313" s="249"/>
    </row>
    <row r="314" spans="2:9">
      <c r="B314" s="567">
        <v>5</v>
      </c>
      <c r="C314" s="569" t="s">
        <v>184</v>
      </c>
      <c r="D314" s="569"/>
      <c r="E314" s="250" t="s">
        <v>222</v>
      </c>
      <c r="F314" s="826">
        <f>H320</f>
        <v>7767000</v>
      </c>
      <c r="G314" s="826"/>
      <c r="H314" s="249"/>
    </row>
    <row r="315" spans="2:9">
      <c r="B315" s="567"/>
      <c r="C315" s="569" t="s">
        <v>194</v>
      </c>
      <c r="D315" s="569"/>
      <c r="H315" s="249"/>
    </row>
    <row r="316" spans="2:9" ht="24">
      <c r="B316" s="249"/>
      <c r="C316" s="827" t="s">
        <v>56</v>
      </c>
      <c r="D316" s="956" t="s">
        <v>0</v>
      </c>
      <c r="E316" s="828" t="s">
        <v>57</v>
      </c>
      <c r="F316" s="829"/>
      <c r="G316" s="570" t="s">
        <v>58</v>
      </c>
      <c r="H316" s="570" t="s">
        <v>59</v>
      </c>
      <c r="I316" s="636"/>
    </row>
    <row r="317" spans="2:9">
      <c r="B317" s="249"/>
      <c r="C317" s="827"/>
      <c r="D317" s="957"/>
      <c r="E317" s="831"/>
      <c r="F317" s="832"/>
      <c r="G317" s="571" t="s">
        <v>52</v>
      </c>
      <c r="H317" s="571" t="s">
        <v>52</v>
      </c>
    </row>
    <row r="318" spans="2:9">
      <c r="B318" s="249"/>
      <c r="C318" s="550">
        <v>1</v>
      </c>
      <c r="D318" s="553">
        <v>2</v>
      </c>
      <c r="E318" s="814">
        <v>3</v>
      </c>
      <c r="F318" s="815"/>
      <c r="G318" s="549">
        <v>4</v>
      </c>
      <c r="H318" s="571">
        <v>5</v>
      </c>
    </row>
    <row r="319" spans="2:9" ht="24">
      <c r="B319" s="249"/>
      <c r="C319" s="572" t="s">
        <v>457</v>
      </c>
      <c r="D319" s="583" t="s">
        <v>151</v>
      </c>
      <c r="E319" s="594"/>
      <c r="F319" s="594"/>
      <c r="G319" s="595"/>
      <c r="H319" s="390"/>
    </row>
    <row r="320" spans="2:9">
      <c r="B320" s="249"/>
      <c r="C320" s="101"/>
      <c r="D320" s="244"/>
      <c r="E320" s="575" t="s">
        <v>218</v>
      </c>
      <c r="F320" s="575" t="s">
        <v>219</v>
      </c>
      <c r="G320" s="541"/>
      <c r="H320" s="576">
        <f>SUM(H321+H333)</f>
        <v>7767000</v>
      </c>
    </row>
    <row r="321" spans="2:9">
      <c r="B321" s="249"/>
      <c r="C321" s="91">
        <v>2</v>
      </c>
      <c r="D321" s="558" t="s">
        <v>34</v>
      </c>
      <c r="E321" s="952"/>
      <c r="F321" s="953"/>
      <c r="G321" s="577"/>
      <c r="H321" s="90">
        <f>SUM(H323:H332)</f>
        <v>7767000</v>
      </c>
    </row>
    <row r="322" spans="2:9" ht="22.5" customHeight="1">
      <c r="B322" s="249"/>
      <c r="C322" s="91"/>
      <c r="D322" s="557" t="s">
        <v>416</v>
      </c>
      <c r="E322" s="935">
        <v>542000</v>
      </c>
      <c r="F322" s="937"/>
      <c r="G322" s="577"/>
      <c r="H322" s="90"/>
      <c r="I322" s="400">
        <f>H320*7.5%</f>
        <v>582525</v>
      </c>
    </row>
    <row r="323" spans="2:9">
      <c r="B323" s="249"/>
      <c r="C323" s="91"/>
      <c r="D323" s="546" t="s">
        <v>207</v>
      </c>
      <c r="E323" s="101">
        <v>1</v>
      </c>
      <c r="F323" s="554" t="s">
        <v>64</v>
      </c>
      <c r="G323" s="89">
        <f>E322*25%</f>
        <v>135500</v>
      </c>
      <c r="H323" s="92">
        <f>E323*G323</f>
        <v>135500</v>
      </c>
    </row>
    <row r="324" spans="2:9">
      <c r="B324" s="249"/>
      <c r="C324" s="94"/>
      <c r="D324" s="546" t="s">
        <v>695</v>
      </c>
      <c r="E324" s="101">
        <v>1</v>
      </c>
      <c r="F324" s="554" t="s">
        <v>64</v>
      </c>
      <c r="G324" s="89">
        <f>E322*15%</f>
        <v>81300</v>
      </c>
      <c r="H324" s="92">
        <f>E324*G324</f>
        <v>81300</v>
      </c>
    </row>
    <row r="325" spans="2:9">
      <c r="B325" s="249"/>
      <c r="C325" s="94"/>
      <c r="D325" s="546" t="s">
        <v>70</v>
      </c>
      <c r="E325" s="101">
        <v>6</v>
      </c>
      <c r="F325" s="554" t="s">
        <v>64</v>
      </c>
      <c r="G325" s="89">
        <f>E322*60%/6</f>
        <v>54200</v>
      </c>
      <c r="H325" s="92">
        <f>E325*G325</f>
        <v>325200</v>
      </c>
    </row>
    <row r="326" spans="2:9">
      <c r="B326" s="249"/>
      <c r="C326" s="94"/>
      <c r="D326" s="552" t="s">
        <v>417</v>
      </c>
      <c r="E326" s="101">
        <v>50</v>
      </c>
      <c r="F326" s="554" t="s">
        <v>64</v>
      </c>
      <c r="G326" s="578">
        <v>15000</v>
      </c>
      <c r="H326" s="92">
        <f t="shared" ref="H326:H332" si="8">E326*G326</f>
        <v>750000</v>
      </c>
    </row>
    <row r="327" spans="2:9">
      <c r="B327" s="249"/>
      <c r="C327" s="94"/>
      <c r="D327" s="552" t="s">
        <v>418</v>
      </c>
      <c r="E327" s="101">
        <v>50</v>
      </c>
      <c r="F327" s="554" t="s">
        <v>64</v>
      </c>
      <c r="G327" s="578">
        <v>10000</v>
      </c>
      <c r="H327" s="92">
        <f t="shared" si="8"/>
        <v>500000</v>
      </c>
    </row>
    <row r="328" spans="2:9">
      <c r="B328" s="249"/>
      <c r="C328" s="94"/>
      <c r="D328" s="555" t="s">
        <v>422</v>
      </c>
      <c r="E328" s="554">
        <v>50</v>
      </c>
      <c r="F328" s="554" t="s">
        <v>64</v>
      </c>
      <c r="G328" s="578">
        <v>25000</v>
      </c>
      <c r="H328" s="92">
        <f t="shared" si="8"/>
        <v>1250000</v>
      </c>
    </row>
    <row r="329" spans="2:9">
      <c r="B329" s="249"/>
      <c r="C329" s="94"/>
      <c r="D329" s="557" t="s">
        <v>425</v>
      </c>
      <c r="E329" s="554">
        <v>50</v>
      </c>
      <c r="F329" s="554" t="s">
        <v>64</v>
      </c>
      <c r="G329" s="578">
        <v>12500</v>
      </c>
      <c r="H329" s="92">
        <f t="shared" si="8"/>
        <v>625000</v>
      </c>
    </row>
    <row r="330" spans="2:9">
      <c r="B330" s="249"/>
      <c r="C330" s="94"/>
      <c r="D330" s="557" t="s">
        <v>562</v>
      </c>
      <c r="E330" s="554">
        <v>3</v>
      </c>
      <c r="F330" s="554" t="s">
        <v>64</v>
      </c>
      <c r="G330" s="578">
        <v>500000</v>
      </c>
      <c r="H330" s="92">
        <f t="shared" si="8"/>
        <v>1500000</v>
      </c>
    </row>
    <row r="331" spans="2:9">
      <c r="B331" s="249"/>
      <c r="C331" s="94"/>
      <c r="D331" s="557" t="s">
        <v>512</v>
      </c>
      <c r="E331" s="554">
        <v>50</v>
      </c>
      <c r="F331" s="554" t="s">
        <v>64</v>
      </c>
      <c r="G331" s="578">
        <v>50000</v>
      </c>
      <c r="H331" s="92">
        <f t="shared" si="8"/>
        <v>2500000</v>
      </c>
    </row>
    <row r="332" spans="2:9">
      <c r="B332" s="249"/>
      <c r="C332" s="397"/>
      <c r="D332" s="579" t="s">
        <v>424</v>
      </c>
      <c r="E332" s="94">
        <v>1</v>
      </c>
      <c r="F332" s="554" t="s">
        <v>64</v>
      </c>
      <c r="G332" s="383">
        <v>100000</v>
      </c>
      <c r="H332" s="92">
        <f t="shared" si="8"/>
        <v>100000</v>
      </c>
    </row>
    <row r="333" spans="2:9">
      <c r="B333" s="249"/>
      <c r="C333" s="580">
        <v>3</v>
      </c>
      <c r="D333" s="387" t="s">
        <v>32</v>
      </c>
      <c r="E333" s="581"/>
      <c r="F333" s="551"/>
      <c r="G333" s="383"/>
      <c r="H333" s="265">
        <f>SUM(H334)</f>
        <v>0</v>
      </c>
    </row>
    <row r="334" spans="2:9">
      <c r="B334" s="249"/>
      <c r="C334" s="397"/>
      <c r="D334" s="579"/>
      <c r="E334" s="581"/>
      <c r="F334" s="551"/>
      <c r="G334" s="383"/>
      <c r="H334" s="265"/>
    </row>
    <row r="335" spans="2:9">
      <c r="B335" s="249"/>
      <c r="C335" s="101"/>
      <c r="D335" s="580" t="s">
        <v>221</v>
      </c>
      <c r="E335" s="546"/>
      <c r="F335" s="546"/>
      <c r="G335" s="383"/>
      <c r="H335" s="265">
        <f>H320</f>
        <v>7767000</v>
      </c>
    </row>
    <row r="336" spans="2:9">
      <c r="B336" s="249"/>
      <c r="C336" s="543"/>
      <c r="D336" s="249"/>
      <c r="E336" s="548"/>
      <c r="F336" s="810" t="s">
        <v>982</v>
      </c>
      <c r="G336" s="810"/>
      <c r="H336" s="810"/>
    </row>
    <row r="337" spans="2:8">
      <c r="B337" s="249"/>
      <c r="C337" s="249"/>
      <c r="D337" s="78" t="s">
        <v>76</v>
      </c>
      <c r="E337" s="548"/>
      <c r="F337" s="810" t="s">
        <v>77</v>
      </c>
      <c r="G337" s="810"/>
      <c r="H337" s="810"/>
    </row>
    <row r="338" spans="2:8">
      <c r="B338" s="249"/>
      <c r="C338" s="249"/>
      <c r="D338" s="543" t="s">
        <v>78</v>
      </c>
      <c r="E338" s="548"/>
      <c r="F338" s="548"/>
      <c r="G338" s="582"/>
      <c r="H338" s="249"/>
    </row>
    <row r="339" spans="2:8">
      <c r="B339" s="249"/>
      <c r="C339" s="543"/>
      <c r="D339" s="543"/>
      <c r="E339" s="548"/>
      <c r="F339" s="548"/>
      <c r="G339" s="249"/>
      <c r="H339" s="249"/>
    </row>
    <row r="340" spans="2:8">
      <c r="B340" s="249"/>
      <c r="C340" s="543"/>
      <c r="D340" s="543"/>
      <c r="E340" s="548"/>
      <c r="F340" s="548"/>
      <c r="G340" s="249"/>
      <c r="H340" s="249"/>
    </row>
    <row r="341" spans="2:8">
      <c r="B341" s="249"/>
      <c r="C341" s="543"/>
      <c r="D341" s="543"/>
      <c r="E341" s="548"/>
      <c r="F341" s="548"/>
      <c r="G341" s="249"/>
      <c r="H341" s="249"/>
    </row>
    <row r="342" spans="2:8">
      <c r="B342" s="249"/>
      <c r="C342" s="543"/>
      <c r="D342" s="78" t="s">
        <v>51</v>
      </c>
      <c r="E342" s="548"/>
      <c r="F342" s="810" t="s">
        <v>428</v>
      </c>
      <c r="G342" s="810"/>
      <c r="H342" s="810"/>
    </row>
    <row r="345" spans="2:8">
      <c r="B345" s="824" t="s">
        <v>54</v>
      </c>
      <c r="C345" s="824"/>
      <c r="D345" s="824"/>
      <c r="E345" s="824"/>
      <c r="F345" s="824"/>
      <c r="G345" s="824"/>
      <c r="H345" s="824"/>
    </row>
    <row r="346" spans="2:8">
      <c r="B346" s="824" t="s">
        <v>55</v>
      </c>
      <c r="C346" s="824"/>
      <c r="D346" s="824"/>
      <c r="E346" s="824"/>
      <c r="F346" s="824"/>
      <c r="G346" s="824"/>
      <c r="H346" s="824"/>
    </row>
    <row r="347" spans="2:8">
      <c r="B347" s="824" t="s">
        <v>914</v>
      </c>
      <c r="C347" s="824"/>
      <c r="D347" s="824"/>
      <c r="E347" s="824"/>
      <c r="F347" s="824"/>
      <c r="G347" s="824"/>
      <c r="H347" s="824"/>
    </row>
    <row r="348" spans="2:8">
      <c r="B348" s="249"/>
      <c r="C348" s="78"/>
      <c r="D348" s="249"/>
      <c r="E348" s="548"/>
      <c r="F348" s="548"/>
      <c r="G348" s="249"/>
      <c r="H348" s="249"/>
    </row>
    <row r="349" spans="2:8">
      <c r="B349" s="567">
        <v>1</v>
      </c>
      <c r="C349" s="954" t="s">
        <v>172</v>
      </c>
      <c r="D349" s="954"/>
      <c r="E349" s="250" t="s">
        <v>438</v>
      </c>
      <c r="H349" s="249"/>
    </row>
    <row r="350" spans="2:8">
      <c r="B350" s="78">
        <v>2</v>
      </c>
      <c r="C350" s="958" t="s">
        <v>173</v>
      </c>
      <c r="D350" s="958"/>
      <c r="E350" s="959" t="s">
        <v>447</v>
      </c>
      <c r="F350" s="959"/>
      <c r="G350" s="959"/>
      <c r="H350" s="959"/>
    </row>
    <row r="351" spans="2:8">
      <c r="B351" s="567">
        <v>3</v>
      </c>
      <c r="C351" s="954" t="s">
        <v>174</v>
      </c>
      <c r="D351" s="954"/>
      <c r="E351" s="250" t="s">
        <v>541</v>
      </c>
      <c r="H351" s="249"/>
    </row>
    <row r="352" spans="2:8">
      <c r="B352" s="567">
        <v>4</v>
      </c>
      <c r="C352" s="569" t="s">
        <v>183</v>
      </c>
      <c r="D352" s="569"/>
      <c r="E352" s="250" t="s">
        <v>213</v>
      </c>
      <c r="H352" s="249"/>
    </row>
    <row r="353" spans="2:9">
      <c r="B353" s="567">
        <v>5</v>
      </c>
      <c r="C353" s="569" t="s">
        <v>184</v>
      </c>
      <c r="D353" s="569"/>
      <c r="E353" s="250" t="s">
        <v>222</v>
      </c>
      <c r="F353" s="826">
        <f>H359</f>
        <v>7229000</v>
      </c>
      <c r="G353" s="826"/>
      <c r="H353" s="249"/>
    </row>
    <row r="354" spans="2:9">
      <c r="B354" s="567"/>
      <c r="C354" s="569" t="s">
        <v>194</v>
      </c>
      <c r="D354" s="569"/>
      <c r="H354" s="249"/>
    </row>
    <row r="355" spans="2:9" ht="24">
      <c r="B355" s="249"/>
      <c r="C355" s="827" t="s">
        <v>56</v>
      </c>
      <c r="D355" s="956" t="s">
        <v>0</v>
      </c>
      <c r="E355" s="828" t="s">
        <v>57</v>
      </c>
      <c r="F355" s="829"/>
      <c r="G355" s="570" t="s">
        <v>58</v>
      </c>
      <c r="H355" s="570" t="s">
        <v>59</v>
      </c>
      <c r="I355" s="636"/>
    </row>
    <row r="356" spans="2:9">
      <c r="B356" s="249"/>
      <c r="C356" s="827"/>
      <c r="D356" s="957"/>
      <c r="E356" s="831"/>
      <c r="F356" s="832"/>
      <c r="G356" s="571" t="s">
        <v>52</v>
      </c>
      <c r="H356" s="571" t="s">
        <v>52</v>
      </c>
    </row>
    <row r="357" spans="2:9">
      <c r="B357" s="249"/>
      <c r="C357" s="550">
        <v>1</v>
      </c>
      <c r="D357" s="553">
        <v>2</v>
      </c>
      <c r="E357" s="814">
        <v>3</v>
      </c>
      <c r="F357" s="815"/>
      <c r="G357" s="549">
        <v>4</v>
      </c>
      <c r="H357" s="571">
        <v>5</v>
      </c>
    </row>
    <row r="358" spans="2:9" ht="24">
      <c r="B358" s="249"/>
      <c r="C358" s="572" t="s">
        <v>458</v>
      </c>
      <c r="D358" s="583" t="s">
        <v>152</v>
      </c>
      <c r="E358" s="594"/>
      <c r="F358" s="594"/>
      <c r="G358" s="595"/>
      <c r="H358" s="390"/>
    </row>
    <row r="359" spans="2:9">
      <c r="B359" s="249"/>
      <c r="C359" s="101"/>
      <c r="D359" s="244"/>
      <c r="E359" s="575" t="s">
        <v>218</v>
      </c>
      <c r="F359" s="575" t="s">
        <v>219</v>
      </c>
      <c r="G359" s="541"/>
      <c r="H359" s="576">
        <f>SUM(H360+H372)</f>
        <v>7229000</v>
      </c>
    </row>
    <row r="360" spans="2:9">
      <c r="B360" s="249"/>
      <c r="C360" s="91">
        <v>2</v>
      </c>
      <c r="D360" s="558" t="s">
        <v>34</v>
      </c>
      <c r="E360" s="952"/>
      <c r="F360" s="953"/>
      <c r="G360" s="577"/>
      <c r="H360" s="90">
        <f>SUM(H362:H371)</f>
        <v>7229000</v>
      </c>
    </row>
    <row r="361" spans="2:9">
      <c r="B361" s="249"/>
      <c r="C361" s="91"/>
      <c r="D361" s="557" t="s">
        <v>416</v>
      </c>
      <c r="E361" s="935">
        <v>504000</v>
      </c>
      <c r="F361" s="937"/>
      <c r="G361" s="577"/>
      <c r="H361" s="90"/>
      <c r="I361" s="400">
        <f>H359*7.5%</f>
        <v>542175</v>
      </c>
    </row>
    <row r="362" spans="2:9">
      <c r="B362" s="249"/>
      <c r="C362" s="91"/>
      <c r="D362" s="546" t="s">
        <v>207</v>
      </c>
      <c r="E362" s="101">
        <v>1</v>
      </c>
      <c r="F362" s="554" t="s">
        <v>64</v>
      </c>
      <c r="G362" s="89">
        <f>E361*25%</f>
        <v>126000</v>
      </c>
      <c r="H362" s="92">
        <f>E362*G362</f>
        <v>126000</v>
      </c>
    </row>
    <row r="363" spans="2:9">
      <c r="B363" s="249"/>
      <c r="C363" s="94"/>
      <c r="D363" s="546" t="s">
        <v>695</v>
      </c>
      <c r="E363" s="101">
        <v>1</v>
      </c>
      <c r="F363" s="554" t="s">
        <v>64</v>
      </c>
      <c r="G363" s="89">
        <f>E361*15%</f>
        <v>75600</v>
      </c>
      <c r="H363" s="92">
        <f>E363*G363</f>
        <v>75600</v>
      </c>
    </row>
    <row r="364" spans="2:9">
      <c r="B364" s="249"/>
      <c r="C364" s="94"/>
      <c r="D364" s="546" t="s">
        <v>70</v>
      </c>
      <c r="E364" s="101">
        <v>6</v>
      </c>
      <c r="F364" s="554" t="s">
        <v>64</v>
      </c>
      <c r="G364" s="89">
        <f>E361*60%/6</f>
        <v>50400</v>
      </c>
      <c r="H364" s="92">
        <f>E364*G364</f>
        <v>302400</v>
      </c>
    </row>
    <row r="365" spans="2:9">
      <c r="B365" s="249"/>
      <c r="C365" s="94"/>
      <c r="D365" s="552" t="s">
        <v>417</v>
      </c>
      <c r="E365" s="101">
        <v>50</v>
      </c>
      <c r="F365" s="554" t="s">
        <v>64</v>
      </c>
      <c r="G365" s="578">
        <v>15000</v>
      </c>
      <c r="H365" s="92">
        <f t="shared" ref="H365:H371" si="9">E365*G365</f>
        <v>750000</v>
      </c>
    </row>
    <row r="366" spans="2:9">
      <c r="B366" s="249"/>
      <c r="C366" s="94"/>
      <c r="D366" s="552" t="s">
        <v>418</v>
      </c>
      <c r="E366" s="101">
        <v>50</v>
      </c>
      <c r="F366" s="554" t="s">
        <v>64</v>
      </c>
      <c r="G366" s="578">
        <v>10000</v>
      </c>
      <c r="H366" s="92">
        <f t="shared" si="9"/>
        <v>500000</v>
      </c>
    </row>
    <row r="367" spans="2:9">
      <c r="B367" s="249"/>
      <c r="C367" s="94"/>
      <c r="D367" s="555" t="s">
        <v>422</v>
      </c>
      <c r="E367" s="554">
        <v>50</v>
      </c>
      <c r="F367" s="554" t="s">
        <v>64</v>
      </c>
      <c r="G367" s="578">
        <v>25000</v>
      </c>
      <c r="H367" s="92">
        <f t="shared" si="9"/>
        <v>1250000</v>
      </c>
    </row>
    <row r="368" spans="2:9">
      <c r="B368" s="249"/>
      <c r="C368" s="94"/>
      <c r="D368" s="557" t="s">
        <v>425</v>
      </c>
      <c r="E368" s="554">
        <v>50</v>
      </c>
      <c r="F368" s="554" t="s">
        <v>64</v>
      </c>
      <c r="G368" s="578">
        <v>12500</v>
      </c>
      <c r="H368" s="92">
        <f t="shared" si="9"/>
        <v>625000</v>
      </c>
    </row>
    <row r="369" spans="2:8">
      <c r="B369" s="249"/>
      <c r="C369" s="94"/>
      <c r="D369" s="557" t="s">
        <v>513</v>
      </c>
      <c r="E369" s="554">
        <v>2</v>
      </c>
      <c r="F369" s="554" t="s">
        <v>64</v>
      </c>
      <c r="G369" s="578">
        <v>500000</v>
      </c>
      <c r="H369" s="92">
        <f t="shared" si="9"/>
        <v>1000000</v>
      </c>
    </row>
    <row r="370" spans="2:8">
      <c r="B370" s="249"/>
      <c r="C370" s="94"/>
      <c r="D370" s="557" t="s">
        <v>512</v>
      </c>
      <c r="E370" s="554">
        <v>50</v>
      </c>
      <c r="F370" s="554" t="s">
        <v>64</v>
      </c>
      <c r="G370" s="578">
        <v>50000</v>
      </c>
      <c r="H370" s="92">
        <f t="shared" si="9"/>
        <v>2500000</v>
      </c>
    </row>
    <row r="371" spans="2:8">
      <c r="B371" s="249"/>
      <c r="C371" s="397"/>
      <c r="D371" s="579" t="s">
        <v>424</v>
      </c>
      <c r="E371" s="94">
        <v>1</v>
      </c>
      <c r="F371" s="554" t="s">
        <v>64</v>
      </c>
      <c r="G371" s="383">
        <v>100000</v>
      </c>
      <c r="H371" s="92">
        <f t="shared" si="9"/>
        <v>100000</v>
      </c>
    </row>
    <row r="372" spans="2:8">
      <c r="B372" s="249"/>
      <c r="C372" s="580">
        <v>3</v>
      </c>
      <c r="D372" s="387" t="s">
        <v>32</v>
      </c>
      <c r="E372" s="581"/>
      <c r="F372" s="551"/>
      <c r="G372" s="383"/>
      <c r="H372" s="265">
        <f>SUM(H373)</f>
        <v>0</v>
      </c>
    </row>
    <row r="373" spans="2:8">
      <c r="B373" s="249"/>
      <c r="C373" s="397"/>
      <c r="D373" s="579"/>
      <c r="E373" s="581"/>
      <c r="F373" s="551"/>
      <c r="G373" s="383"/>
      <c r="H373" s="265"/>
    </row>
    <row r="374" spans="2:8">
      <c r="B374" s="249"/>
      <c r="C374" s="101"/>
      <c r="D374" s="580" t="s">
        <v>221</v>
      </c>
      <c r="E374" s="546"/>
      <c r="F374" s="546"/>
      <c r="G374" s="383"/>
      <c r="H374" s="265">
        <f>H359</f>
        <v>7229000</v>
      </c>
    </row>
    <row r="375" spans="2:8">
      <c r="B375" s="249"/>
      <c r="C375" s="543"/>
      <c r="D375" s="249"/>
      <c r="E375" s="548"/>
      <c r="F375" s="810" t="s">
        <v>982</v>
      </c>
      <c r="G375" s="810"/>
      <c r="H375" s="810"/>
    </row>
    <row r="376" spans="2:8">
      <c r="B376" s="249"/>
      <c r="C376" s="543"/>
      <c r="D376" s="543"/>
      <c r="E376" s="548"/>
      <c r="F376" s="548"/>
      <c r="G376" s="249"/>
      <c r="H376" s="249"/>
    </row>
    <row r="377" spans="2:8">
      <c r="B377" s="249"/>
      <c r="C377" s="249"/>
      <c r="D377" s="78" t="s">
        <v>76</v>
      </c>
      <c r="E377" s="548"/>
      <c r="F377" s="810" t="s">
        <v>77</v>
      </c>
      <c r="G377" s="810"/>
      <c r="H377" s="810"/>
    </row>
    <row r="378" spans="2:8">
      <c r="B378" s="249"/>
      <c r="C378" s="249"/>
      <c r="D378" s="543" t="s">
        <v>78</v>
      </c>
      <c r="E378" s="548"/>
      <c r="F378" s="548"/>
      <c r="G378" s="582"/>
      <c r="H378" s="249"/>
    </row>
    <row r="379" spans="2:8">
      <c r="B379" s="249"/>
      <c r="C379" s="543"/>
      <c r="D379" s="543"/>
      <c r="E379" s="548"/>
      <c r="F379" s="548"/>
      <c r="G379" s="249"/>
      <c r="H379" s="249"/>
    </row>
    <row r="380" spans="2:8">
      <c r="B380" s="249"/>
      <c r="C380" s="543"/>
      <c r="D380" s="543"/>
      <c r="E380" s="548"/>
      <c r="F380" s="548"/>
      <c r="G380" s="249"/>
      <c r="H380" s="249"/>
    </row>
    <row r="381" spans="2:8">
      <c r="B381" s="249"/>
      <c r="C381" s="543"/>
      <c r="D381" s="543"/>
      <c r="E381" s="548"/>
      <c r="F381" s="548"/>
      <c r="G381" s="249"/>
      <c r="H381" s="249"/>
    </row>
    <row r="382" spans="2:8">
      <c r="B382" s="249"/>
      <c r="C382" s="543"/>
      <c r="D382" s="78" t="s">
        <v>51</v>
      </c>
      <c r="E382" s="548"/>
      <c r="F382" s="810" t="s">
        <v>428</v>
      </c>
      <c r="G382" s="810"/>
      <c r="H382" s="810"/>
    </row>
    <row r="384" spans="2:8">
      <c r="B384" s="824" t="s">
        <v>54</v>
      </c>
      <c r="C384" s="824"/>
      <c r="D384" s="824"/>
      <c r="E384" s="824"/>
      <c r="F384" s="824"/>
      <c r="G384" s="824"/>
      <c r="H384" s="824"/>
    </row>
    <row r="385" spans="2:10">
      <c r="B385" s="824" t="s">
        <v>55</v>
      </c>
      <c r="C385" s="824"/>
      <c r="D385" s="824"/>
      <c r="E385" s="824"/>
      <c r="F385" s="824"/>
      <c r="G385" s="824"/>
      <c r="H385" s="824"/>
    </row>
    <row r="386" spans="2:10">
      <c r="B386" s="824" t="s">
        <v>914</v>
      </c>
      <c r="C386" s="824"/>
      <c r="D386" s="824"/>
      <c r="E386" s="824"/>
      <c r="F386" s="824"/>
      <c r="G386" s="824"/>
      <c r="H386" s="824"/>
    </row>
    <row r="387" spans="2:10">
      <c r="B387" s="249"/>
      <c r="C387" s="78"/>
      <c r="D387" s="249"/>
      <c r="E387" s="548"/>
      <c r="F387" s="548"/>
      <c r="G387" s="249"/>
      <c r="H387" s="249"/>
    </row>
    <row r="388" spans="2:10">
      <c r="B388" s="567">
        <v>1</v>
      </c>
      <c r="C388" s="954" t="s">
        <v>172</v>
      </c>
      <c r="D388" s="954"/>
      <c r="E388" s="250" t="s">
        <v>438</v>
      </c>
      <c r="H388" s="249"/>
    </row>
    <row r="389" spans="2:10" ht="30.75" customHeight="1">
      <c r="B389" s="78">
        <v>2</v>
      </c>
      <c r="C389" s="958" t="s">
        <v>173</v>
      </c>
      <c r="D389" s="958"/>
      <c r="E389" s="959" t="s">
        <v>524</v>
      </c>
      <c r="F389" s="959"/>
      <c r="G389" s="959"/>
      <c r="H389" s="959"/>
    </row>
    <row r="390" spans="2:10">
      <c r="B390" s="567">
        <v>3</v>
      </c>
      <c r="C390" s="954" t="s">
        <v>174</v>
      </c>
      <c r="D390" s="954"/>
      <c r="E390" s="250" t="s">
        <v>186</v>
      </c>
      <c r="H390" s="249"/>
    </row>
    <row r="391" spans="2:10">
      <c r="B391" s="567">
        <v>4</v>
      </c>
      <c r="C391" s="569" t="s">
        <v>183</v>
      </c>
      <c r="D391" s="569"/>
      <c r="E391" s="250" t="s">
        <v>213</v>
      </c>
      <c r="H391" s="249"/>
    </row>
    <row r="392" spans="2:10">
      <c r="B392" s="567">
        <v>5</v>
      </c>
      <c r="C392" s="569" t="s">
        <v>184</v>
      </c>
      <c r="D392" s="569"/>
      <c r="E392" s="250" t="s">
        <v>222</v>
      </c>
      <c r="F392" s="826">
        <f>H398</f>
        <v>4643000</v>
      </c>
      <c r="G392" s="826"/>
      <c r="H392" s="249"/>
    </row>
    <row r="393" spans="2:10">
      <c r="B393" s="567"/>
      <c r="C393" s="569" t="s">
        <v>194</v>
      </c>
      <c r="D393" s="569"/>
      <c r="H393" s="249"/>
    </row>
    <row r="394" spans="2:10" ht="24">
      <c r="B394" s="249"/>
      <c r="C394" s="827" t="s">
        <v>56</v>
      </c>
      <c r="D394" s="956" t="s">
        <v>0</v>
      </c>
      <c r="E394" s="828" t="s">
        <v>57</v>
      </c>
      <c r="F394" s="829"/>
      <c r="G394" s="570" t="s">
        <v>58</v>
      </c>
      <c r="H394" s="570" t="s">
        <v>59</v>
      </c>
      <c r="I394" s="636"/>
    </row>
    <row r="395" spans="2:10">
      <c r="B395" s="249"/>
      <c r="C395" s="827"/>
      <c r="D395" s="957"/>
      <c r="E395" s="831"/>
      <c r="F395" s="832"/>
      <c r="G395" s="571" t="s">
        <v>52</v>
      </c>
      <c r="H395" s="571" t="s">
        <v>52</v>
      </c>
    </row>
    <row r="396" spans="2:10">
      <c r="B396" s="249"/>
      <c r="C396" s="550">
        <v>1</v>
      </c>
      <c r="D396" s="553">
        <v>2</v>
      </c>
      <c r="E396" s="814">
        <v>3</v>
      </c>
      <c r="F396" s="815"/>
      <c r="G396" s="549">
        <v>4</v>
      </c>
      <c r="H396" s="571">
        <v>5</v>
      </c>
    </row>
    <row r="397" spans="2:10" ht="24">
      <c r="B397" s="249"/>
      <c r="C397" s="572" t="s">
        <v>523</v>
      </c>
      <c r="D397" s="583" t="s">
        <v>153</v>
      </c>
      <c r="E397" s="594"/>
      <c r="F397" s="594"/>
      <c r="G397" s="595"/>
      <c r="H397" s="390"/>
    </row>
    <row r="398" spans="2:10">
      <c r="B398" s="249"/>
      <c r="C398" s="101"/>
      <c r="D398" s="244"/>
      <c r="E398" s="575" t="s">
        <v>218</v>
      </c>
      <c r="F398" s="575" t="s">
        <v>219</v>
      </c>
      <c r="G398" s="541"/>
      <c r="H398" s="576">
        <f>SUM(H399+H411)</f>
        <v>4643000</v>
      </c>
    </row>
    <row r="399" spans="2:10">
      <c r="B399" s="249"/>
      <c r="C399" s="91">
        <v>2</v>
      </c>
      <c r="D399" s="558" t="s">
        <v>34</v>
      </c>
      <c r="E399" s="952"/>
      <c r="F399" s="953"/>
      <c r="G399" s="577"/>
      <c r="H399" s="90">
        <f>SUM(H401:H410)</f>
        <v>4643000</v>
      </c>
    </row>
    <row r="400" spans="2:10">
      <c r="B400" s="249"/>
      <c r="C400" s="91"/>
      <c r="D400" s="557" t="s">
        <v>416</v>
      </c>
      <c r="E400" s="935">
        <v>336000</v>
      </c>
      <c r="F400" s="937"/>
      <c r="G400" s="577"/>
      <c r="H400" s="90"/>
      <c r="J400" s="250">
        <f>H398*7.5%</f>
        <v>348225</v>
      </c>
    </row>
    <row r="401" spans="2:8">
      <c r="B401" s="249"/>
      <c r="C401" s="91"/>
      <c r="D401" s="546" t="s">
        <v>207</v>
      </c>
      <c r="E401" s="101">
        <v>1</v>
      </c>
      <c r="F401" s="554" t="s">
        <v>64</v>
      </c>
      <c r="G401" s="89">
        <f>E400*25%</f>
        <v>84000</v>
      </c>
      <c r="H401" s="92">
        <f>E401*G401</f>
        <v>84000</v>
      </c>
    </row>
    <row r="402" spans="2:8">
      <c r="B402" s="249"/>
      <c r="C402" s="94"/>
      <c r="D402" s="546" t="s">
        <v>695</v>
      </c>
      <c r="E402" s="101">
        <v>1</v>
      </c>
      <c r="F402" s="554" t="s">
        <v>64</v>
      </c>
      <c r="G402" s="89">
        <f>E400*15%</f>
        <v>50400</v>
      </c>
      <c r="H402" s="92">
        <f>E402*G402</f>
        <v>50400</v>
      </c>
    </row>
    <row r="403" spans="2:8">
      <c r="B403" s="249"/>
      <c r="C403" s="94"/>
      <c r="D403" s="546" t="s">
        <v>70</v>
      </c>
      <c r="E403" s="101">
        <v>1</v>
      </c>
      <c r="F403" s="554" t="s">
        <v>64</v>
      </c>
      <c r="G403" s="89">
        <f>E400*60%/6</f>
        <v>33600</v>
      </c>
      <c r="H403" s="92">
        <f>E403*G403</f>
        <v>33600</v>
      </c>
    </row>
    <row r="404" spans="2:8">
      <c r="B404" s="249"/>
      <c r="C404" s="94"/>
      <c r="D404" s="552" t="s">
        <v>417</v>
      </c>
      <c r="E404" s="101">
        <v>30</v>
      </c>
      <c r="F404" s="554" t="s">
        <v>64</v>
      </c>
      <c r="G404" s="578">
        <v>15000</v>
      </c>
      <c r="H404" s="92">
        <f t="shared" ref="H404:H410" si="10">E404*G404</f>
        <v>450000</v>
      </c>
    </row>
    <row r="405" spans="2:8">
      <c r="B405" s="249"/>
      <c r="C405" s="94"/>
      <c r="D405" s="552" t="s">
        <v>418</v>
      </c>
      <c r="E405" s="101">
        <v>30</v>
      </c>
      <c r="F405" s="554" t="s">
        <v>64</v>
      </c>
      <c r="G405" s="578">
        <v>10000</v>
      </c>
      <c r="H405" s="92">
        <f t="shared" si="10"/>
        <v>300000</v>
      </c>
    </row>
    <row r="406" spans="2:8">
      <c r="B406" s="249"/>
      <c r="C406" s="94"/>
      <c r="D406" s="555" t="s">
        <v>422</v>
      </c>
      <c r="E406" s="554">
        <v>30</v>
      </c>
      <c r="F406" s="554" t="s">
        <v>64</v>
      </c>
      <c r="G406" s="578">
        <v>25000</v>
      </c>
      <c r="H406" s="92">
        <f t="shared" si="10"/>
        <v>750000</v>
      </c>
    </row>
    <row r="407" spans="2:8">
      <c r="B407" s="249"/>
      <c r="C407" s="94"/>
      <c r="D407" s="557" t="s">
        <v>425</v>
      </c>
      <c r="E407" s="554">
        <v>30</v>
      </c>
      <c r="F407" s="554" t="s">
        <v>64</v>
      </c>
      <c r="G407" s="578">
        <v>12500</v>
      </c>
      <c r="H407" s="92">
        <f t="shared" si="10"/>
        <v>375000</v>
      </c>
    </row>
    <row r="408" spans="2:8">
      <c r="B408" s="249"/>
      <c r="C408" s="94"/>
      <c r="D408" s="557" t="s">
        <v>513</v>
      </c>
      <c r="E408" s="554">
        <v>2</v>
      </c>
      <c r="F408" s="554" t="s">
        <v>64</v>
      </c>
      <c r="G408" s="578">
        <v>500000</v>
      </c>
      <c r="H408" s="92">
        <f t="shared" si="10"/>
        <v>1000000</v>
      </c>
    </row>
    <row r="409" spans="2:8">
      <c r="B409" s="249"/>
      <c r="C409" s="94"/>
      <c r="D409" s="557" t="s">
        <v>512</v>
      </c>
      <c r="E409" s="554">
        <v>30</v>
      </c>
      <c r="F409" s="554" t="s">
        <v>64</v>
      </c>
      <c r="G409" s="578">
        <v>50000</v>
      </c>
      <c r="H409" s="92">
        <f t="shared" si="10"/>
        <v>1500000</v>
      </c>
    </row>
    <row r="410" spans="2:8">
      <c r="B410" s="249"/>
      <c r="C410" s="397"/>
      <c r="D410" s="579" t="s">
        <v>424</v>
      </c>
      <c r="E410" s="94">
        <v>1</v>
      </c>
      <c r="F410" s="554" t="s">
        <v>64</v>
      </c>
      <c r="G410" s="383">
        <v>100000</v>
      </c>
      <c r="H410" s="92">
        <f t="shared" si="10"/>
        <v>100000</v>
      </c>
    </row>
    <row r="411" spans="2:8">
      <c r="B411" s="249"/>
      <c r="C411" s="580">
        <v>3</v>
      </c>
      <c r="D411" s="387" t="s">
        <v>32</v>
      </c>
      <c r="E411" s="581"/>
      <c r="F411" s="551"/>
      <c r="G411" s="383"/>
      <c r="H411" s="265">
        <f>SUM(H412)</f>
        <v>0</v>
      </c>
    </row>
    <row r="412" spans="2:8">
      <c r="B412" s="249"/>
      <c r="C412" s="397"/>
      <c r="D412" s="579"/>
      <c r="E412" s="581"/>
      <c r="F412" s="551"/>
      <c r="G412" s="383"/>
      <c r="H412" s="265"/>
    </row>
    <row r="413" spans="2:8">
      <c r="B413" s="249"/>
      <c r="C413" s="101"/>
      <c r="D413" s="580" t="s">
        <v>221</v>
      </c>
      <c r="E413" s="546"/>
      <c r="F413" s="546"/>
      <c r="G413" s="383"/>
      <c r="H413" s="265">
        <f>H398</f>
        <v>4643000</v>
      </c>
    </row>
    <row r="414" spans="2:8">
      <c r="B414" s="249"/>
      <c r="C414" s="543"/>
      <c r="D414" s="249"/>
      <c r="E414" s="548"/>
      <c r="F414" s="810" t="s">
        <v>982</v>
      </c>
      <c r="G414" s="810"/>
      <c r="H414" s="810"/>
    </row>
    <row r="415" spans="2:8">
      <c r="B415" s="249"/>
      <c r="C415" s="543"/>
      <c r="D415" s="543"/>
      <c r="E415" s="548"/>
      <c r="F415" s="548"/>
      <c r="G415" s="249"/>
      <c r="H415" s="249"/>
    </row>
    <row r="416" spans="2:8">
      <c r="B416" s="249"/>
      <c r="C416" s="249"/>
      <c r="D416" s="78" t="s">
        <v>76</v>
      </c>
      <c r="E416" s="548"/>
      <c r="F416" s="810" t="s">
        <v>77</v>
      </c>
      <c r="G416" s="810"/>
      <c r="H416" s="810"/>
    </row>
    <row r="417" spans="2:8">
      <c r="B417" s="249"/>
      <c r="C417" s="249"/>
      <c r="D417" s="543" t="s">
        <v>78</v>
      </c>
      <c r="E417" s="548"/>
      <c r="F417" s="548"/>
      <c r="G417" s="582"/>
      <c r="H417" s="249"/>
    </row>
    <row r="418" spans="2:8">
      <c r="B418" s="249"/>
      <c r="C418" s="543"/>
      <c r="D418" s="543"/>
      <c r="E418" s="548"/>
      <c r="F418" s="548"/>
      <c r="G418" s="249"/>
      <c r="H418" s="249"/>
    </row>
    <row r="419" spans="2:8">
      <c r="B419" s="249"/>
      <c r="C419" s="543"/>
      <c r="D419" s="543"/>
      <c r="E419" s="548"/>
      <c r="F419" s="548"/>
      <c r="G419" s="249"/>
      <c r="H419" s="249"/>
    </row>
    <row r="420" spans="2:8">
      <c r="B420" s="249"/>
      <c r="C420" s="543"/>
      <c r="D420" s="543"/>
      <c r="E420" s="548"/>
      <c r="F420" s="548"/>
      <c r="G420" s="249"/>
      <c r="H420" s="249"/>
    </row>
    <row r="421" spans="2:8" ht="15.75" customHeight="1">
      <c r="B421" s="249"/>
      <c r="C421" s="543"/>
      <c r="D421" s="78" t="s">
        <v>51</v>
      </c>
      <c r="E421" s="548"/>
      <c r="F421" s="810" t="s">
        <v>225</v>
      </c>
      <c r="G421" s="810"/>
      <c r="H421" s="810"/>
    </row>
    <row r="422" spans="2:8" ht="15.75" customHeight="1">
      <c r="B422" s="249"/>
      <c r="C422" s="543"/>
      <c r="D422" s="78"/>
      <c r="E422" s="548"/>
      <c r="F422" s="543"/>
      <c r="G422" s="543"/>
      <c r="H422" s="543"/>
    </row>
    <row r="426" spans="2:8">
      <c r="B426" s="824" t="s">
        <v>54</v>
      </c>
      <c r="C426" s="824"/>
      <c r="D426" s="824"/>
      <c r="E426" s="824"/>
      <c r="F426" s="824"/>
      <c r="G426" s="824"/>
      <c r="H426" s="824"/>
    </row>
    <row r="427" spans="2:8">
      <c r="B427" s="824" t="s">
        <v>55</v>
      </c>
      <c r="C427" s="824"/>
      <c r="D427" s="824"/>
      <c r="E427" s="824"/>
      <c r="F427" s="824"/>
      <c r="G427" s="824"/>
      <c r="H427" s="824"/>
    </row>
    <row r="428" spans="2:8">
      <c r="B428" s="824" t="s">
        <v>914</v>
      </c>
      <c r="C428" s="824"/>
      <c r="D428" s="824"/>
      <c r="E428" s="824"/>
      <c r="F428" s="824"/>
      <c r="G428" s="824"/>
      <c r="H428" s="824"/>
    </row>
    <row r="429" spans="2:8" ht="6.75" customHeight="1">
      <c r="B429" s="249"/>
      <c r="C429" s="78"/>
      <c r="D429" s="249"/>
      <c r="E429" s="548"/>
      <c r="F429" s="548"/>
      <c r="G429" s="249"/>
      <c r="H429" s="249"/>
    </row>
    <row r="430" spans="2:8">
      <c r="B430" s="567">
        <v>1</v>
      </c>
      <c r="C430" s="954" t="s">
        <v>172</v>
      </c>
      <c r="D430" s="954"/>
      <c r="E430" s="250" t="s">
        <v>438</v>
      </c>
      <c r="H430" s="249"/>
    </row>
    <row r="431" spans="2:8" ht="26.25" customHeight="1">
      <c r="B431" s="78">
        <v>2</v>
      </c>
      <c r="C431" s="958" t="s">
        <v>173</v>
      </c>
      <c r="D431" s="958"/>
      <c r="E431" s="959" t="s">
        <v>448</v>
      </c>
      <c r="F431" s="959"/>
      <c r="G431" s="959"/>
      <c r="H431" s="959"/>
    </row>
    <row r="432" spans="2:8">
      <c r="B432" s="567">
        <v>3</v>
      </c>
      <c r="C432" s="954" t="s">
        <v>174</v>
      </c>
      <c r="D432" s="954"/>
      <c r="E432" s="250" t="s">
        <v>186</v>
      </c>
      <c r="H432" s="249"/>
    </row>
    <row r="433" spans="2:10">
      <c r="B433" s="567">
        <v>4</v>
      </c>
      <c r="C433" s="569" t="s">
        <v>183</v>
      </c>
      <c r="D433" s="569"/>
      <c r="E433" s="250" t="s">
        <v>213</v>
      </c>
      <c r="H433" s="249"/>
    </row>
    <row r="434" spans="2:10">
      <c r="B434" s="567">
        <v>5</v>
      </c>
      <c r="C434" s="569" t="s">
        <v>184</v>
      </c>
      <c r="D434" s="569"/>
      <c r="E434" s="250" t="s">
        <v>222</v>
      </c>
      <c r="F434" s="826">
        <f>H440</f>
        <v>7364000</v>
      </c>
      <c r="G434" s="826"/>
      <c r="H434" s="249"/>
    </row>
    <row r="435" spans="2:10">
      <c r="B435" s="567"/>
      <c r="C435" s="569" t="s">
        <v>194</v>
      </c>
      <c r="D435" s="569"/>
      <c r="H435" s="249"/>
    </row>
    <row r="436" spans="2:10" ht="24">
      <c r="B436" s="249"/>
      <c r="C436" s="920" t="s">
        <v>56</v>
      </c>
      <c r="D436" s="956" t="s">
        <v>0</v>
      </c>
      <c r="E436" s="828" t="s">
        <v>57</v>
      </c>
      <c r="F436" s="830"/>
      <c r="G436" s="570" t="s">
        <v>58</v>
      </c>
      <c r="H436" s="570" t="s">
        <v>59</v>
      </c>
      <c r="I436" s="636"/>
    </row>
    <row r="437" spans="2:10">
      <c r="B437" s="249"/>
      <c r="C437" s="921"/>
      <c r="D437" s="957"/>
      <c r="E437" s="831"/>
      <c r="F437" s="833"/>
      <c r="G437" s="571" t="s">
        <v>52</v>
      </c>
      <c r="H437" s="571" t="s">
        <v>52</v>
      </c>
    </row>
    <row r="438" spans="2:10">
      <c r="B438" s="249"/>
      <c r="C438" s="550">
        <v>1</v>
      </c>
      <c r="D438" s="553">
        <v>2</v>
      </c>
      <c r="E438" s="814">
        <v>3</v>
      </c>
      <c r="F438" s="815"/>
      <c r="G438" s="549">
        <v>4</v>
      </c>
      <c r="H438" s="571">
        <v>5</v>
      </c>
    </row>
    <row r="439" spans="2:10" ht="24">
      <c r="B439" s="249"/>
      <c r="C439" s="572" t="s">
        <v>459</v>
      </c>
      <c r="D439" s="583" t="s">
        <v>156</v>
      </c>
      <c r="E439" s="594"/>
      <c r="F439" s="594"/>
      <c r="G439" s="595"/>
      <c r="H439" s="390"/>
    </row>
    <row r="440" spans="2:10">
      <c r="B440" s="249"/>
      <c r="C440" s="101"/>
      <c r="D440" s="244"/>
      <c r="E440" s="575" t="s">
        <v>218</v>
      </c>
      <c r="F440" s="575" t="s">
        <v>219</v>
      </c>
      <c r="G440" s="541"/>
      <c r="H440" s="576">
        <f>SUM(H441+H453)</f>
        <v>7364000</v>
      </c>
    </row>
    <row r="441" spans="2:10">
      <c r="B441" s="249"/>
      <c r="C441" s="91">
        <v>2</v>
      </c>
      <c r="D441" s="558" t="s">
        <v>34</v>
      </c>
      <c r="E441" s="952"/>
      <c r="F441" s="953"/>
      <c r="G441" s="577"/>
      <c r="H441" s="90">
        <f>SUM(H443:H452)</f>
        <v>7364000</v>
      </c>
    </row>
    <row r="442" spans="2:10">
      <c r="B442" s="249"/>
      <c r="C442" s="91"/>
      <c r="D442" s="557" t="s">
        <v>416</v>
      </c>
      <c r="E442" s="935">
        <v>514000</v>
      </c>
      <c r="F442" s="937"/>
      <c r="G442" s="577"/>
      <c r="H442" s="90"/>
      <c r="J442" s="250">
        <f>H440*7.5%</f>
        <v>552300</v>
      </c>
    </row>
    <row r="443" spans="2:10">
      <c r="B443" s="249"/>
      <c r="C443" s="91"/>
      <c r="D443" s="546" t="s">
        <v>207</v>
      </c>
      <c r="E443" s="101">
        <v>1</v>
      </c>
      <c r="F443" s="554" t="s">
        <v>64</v>
      </c>
      <c r="G443" s="89">
        <f>E442*25%</f>
        <v>128500</v>
      </c>
      <c r="H443" s="92">
        <f>E443*G443</f>
        <v>128500</v>
      </c>
    </row>
    <row r="444" spans="2:10">
      <c r="B444" s="249"/>
      <c r="C444" s="94"/>
      <c r="D444" s="546" t="s">
        <v>695</v>
      </c>
      <c r="E444" s="101">
        <v>1</v>
      </c>
      <c r="F444" s="554" t="s">
        <v>64</v>
      </c>
      <c r="G444" s="89">
        <f>E442*15%</f>
        <v>77100</v>
      </c>
      <c r="H444" s="92">
        <f>E444*G444</f>
        <v>77100</v>
      </c>
    </row>
    <row r="445" spans="2:10">
      <c r="B445" s="249"/>
      <c r="C445" s="94"/>
      <c r="D445" s="546" t="s">
        <v>70</v>
      </c>
      <c r="E445" s="101">
        <v>6</v>
      </c>
      <c r="F445" s="554" t="s">
        <v>64</v>
      </c>
      <c r="G445" s="89">
        <f>E442*60%/6</f>
        <v>51400</v>
      </c>
      <c r="H445" s="92">
        <f>E445*G445</f>
        <v>308400</v>
      </c>
    </row>
    <row r="446" spans="2:10">
      <c r="B446" s="249"/>
      <c r="C446" s="94"/>
      <c r="D446" s="552" t="s">
        <v>417</v>
      </c>
      <c r="E446" s="101">
        <v>50</v>
      </c>
      <c r="F446" s="554" t="s">
        <v>64</v>
      </c>
      <c r="G446" s="578">
        <v>15000</v>
      </c>
      <c r="H446" s="92">
        <f t="shared" ref="H446:H452" si="11">E446*G446</f>
        <v>750000</v>
      </c>
    </row>
    <row r="447" spans="2:10">
      <c r="B447" s="249"/>
      <c r="C447" s="94"/>
      <c r="D447" s="552" t="s">
        <v>418</v>
      </c>
      <c r="E447" s="101">
        <v>50</v>
      </c>
      <c r="F447" s="554" t="s">
        <v>64</v>
      </c>
      <c r="G447" s="578">
        <v>10000</v>
      </c>
      <c r="H447" s="92">
        <f t="shared" si="11"/>
        <v>500000</v>
      </c>
    </row>
    <row r="448" spans="2:10">
      <c r="B448" s="249"/>
      <c r="C448" s="94"/>
      <c r="D448" s="555" t="s">
        <v>422</v>
      </c>
      <c r="E448" s="554">
        <v>50</v>
      </c>
      <c r="F448" s="554" t="s">
        <v>64</v>
      </c>
      <c r="G448" s="578">
        <v>25000</v>
      </c>
      <c r="H448" s="92">
        <f t="shared" si="11"/>
        <v>1250000</v>
      </c>
    </row>
    <row r="449" spans="2:8">
      <c r="B449" s="249"/>
      <c r="C449" s="94"/>
      <c r="D449" s="557" t="s">
        <v>425</v>
      </c>
      <c r="E449" s="554">
        <v>60</v>
      </c>
      <c r="F449" s="554" t="s">
        <v>64</v>
      </c>
      <c r="G449" s="578">
        <v>12500</v>
      </c>
      <c r="H449" s="92">
        <f t="shared" si="11"/>
        <v>750000</v>
      </c>
    </row>
    <row r="450" spans="2:8">
      <c r="B450" s="249"/>
      <c r="C450" s="94"/>
      <c r="D450" s="557" t="s">
        <v>513</v>
      </c>
      <c r="E450" s="554">
        <v>2</v>
      </c>
      <c r="F450" s="554" t="s">
        <v>64</v>
      </c>
      <c r="G450" s="578">
        <v>500000</v>
      </c>
      <c r="H450" s="92">
        <f t="shared" si="11"/>
        <v>1000000</v>
      </c>
    </row>
    <row r="451" spans="2:8">
      <c r="B451" s="249"/>
      <c r="C451" s="94"/>
      <c r="D451" s="557" t="s">
        <v>512</v>
      </c>
      <c r="E451" s="554">
        <v>50</v>
      </c>
      <c r="F451" s="554" t="s">
        <v>64</v>
      </c>
      <c r="G451" s="578">
        <v>50000</v>
      </c>
      <c r="H451" s="92">
        <f t="shared" si="11"/>
        <v>2500000</v>
      </c>
    </row>
    <row r="452" spans="2:8">
      <c r="B452" s="249"/>
      <c r="C452" s="397"/>
      <c r="D452" s="579" t="s">
        <v>424</v>
      </c>
      <c r="E452" s="94">
        <v>1</v>
      </c>
      <c r="F452" s="554" t="s">
        <v>64</v>
      </c>
      <c r="G452" s="383">
        <v>100000</v>
      </c>
      <c r="H452" s="92">
        <f t="shared" si="11"/>
        <v>100000</v>
      </c>
    </row>
    <row r="453" spans="2:8">
      <c r="B453" s="249"/>
      <c r="C453" s="580">
        <v>3</v>
      </c>
      <c r="D453" s="387" t="s">
        <v>32</v>
      </c>
      <c r="E453" s="581"/>
      <c r="F453" s="551"/>
      <c r="G453" s="383"/>
      <c r="H453" s="265">
        <f>SUM(H454)</f>
        <v>0</v>
      </c>
    </row>
    <row r="454" spans="2:8">
      <c r="B454" s="249"/>
      <c r="C454" s="397"/>
      <c r="D454" s="579"/>
      <c r="E454" s="581"/>
      <c r="F454" s="551"/>
      <c r="G454" s="383"/>
      <c r="H454" s="265"/>
    </row>
    <row r="455" spans="2:8">
      <c r="B455" s="249"/>
      <c r="C455" s="101"/>
      <c r="D455" s="580" t="s">
        <v>221</v>
      </c>
      <c r="E455" s="546"/>
      <c r="F455" s="546"/>
      <c r="G455" s="383"/>
      <c r="H455" s="265">
        <f>H440</f>
        <v>7364000</v>
      </c>
    </row>
    <row r="456" spans="2:8" ht="12" customHeight="1">
      <c r="B456" s="249"/>
      <c r="C456" s="543"/>
      <c r="D456" s="249"/>
      <c r="E456" s="548"/>
      <c r="F456" s="962" t="s">
        <v>982</v>
      </c>
      <c r="G456" s="962"/>
      <c r="H456" s="962"/>
    </row>
    <row r="457" spans="2:8">
      <c r="B457" s="249"/>
      <c r="C457" s="543"/>
      <c r="D457" s="543"/>
      <c r="E457" s="548"/>
      <c r="F457" s="548"/>
      <c r="G457" s="249"/>
      <c r="H457" s="249"/>
    </row>
    <row r="458" spans="2:8" ht="12" customHeight="1">
      <c r="B458" s="249"/>
      <c r="C458" s="249"/>
      <c r="D458" s="78" t="s">
        <v>76</v>
      </c>
      <c r="E458" s="548"/>
      <c r="F458" s="810" t="s">
        <v>77</v>
      </c>
      <c r="G458" s="810"/>
      <c r="H458" s="810"/>
    </row>
    <row r="459" spans="2:8">
      <c r="B459" s="249"/>
      <c r="C459" s="249"/>
      <c r="D459" s="543" t="s">
        <v>78</v>
      </c>
      <c r="E459" s="548"/>
      <c r="F459" s="548"/>
      <c r="G459" s="582"/>
      <c r="H459" s="249"/>
    </row>
    <row r="460" spans="2:8">
      <c r="B460" s="249"/>
      <c r="C460" s="543"/>
      <c r="D460" s="543"/>
      <c r="E460" s="548"/>
      <c r="F460" s="548"/>
      <c r="G460" s="249"/>
      <c r="H460" s="249"/>
    </row>
    <row r="461" spans="2:8">
      <c r="B461" s="249"/>
      <c r="C461" s="543"/>
      <c r="D461" s="543"/>
      <c r="E461" s="548"/>
      <c r="F461" s="548"/>
      <c r="G461" s="249"/>
      <c r="H461" s="249"/>
    </row>
    <row r="462" spans="2:8">
      <c r="B462" s="249"/>
      <c r="C462" s="543"/>
      <c r="D462" s="543"/>
      <c r="E462" s="548"/>
      <c r="F462" s="548"/>
      <c r="G462" s="249"/>
      <c r="H462" s="249"/>
    </row>
    <row r="463" spans="2:8" ht="12" customHeight="1">
      <c r="B463" s="249"/>
      <c r="C463" s="543"/>
      <c r="D463" s="78" t="s">
        <v>51</v>
      </c>
      <c r="E463" s="548"/>
      <c r="F463" s="810" t="s">
        <v>428</v>
      </c>
      <c r="G463" s="810"/>
      <c r="H463" s="810"/>
    </row>
    <row r="465" spans="2:9">
      <c r="B465" s="824" t="s">
        <v>54</v>
      </c>
      <c r="C465" s="824"/>
      <c r="D465" s="824"/>
      <c r="E465" s="824"/>
      <c r="F465" s="824"/>
      <c r="G465" s="824"/>
      <c r="H465" s="824"/>
    </row>
    <row r="466" spans="2:9">
      <c r="B466" s="824" t="s">
        <v>55</v>
      </c>
      <c r="C466" s="824"/>
      <c r="D466" s="824"/>
      <c r="E466" s="824"/>
      <c r="F466" s="824"/>
      <c r="G466" s="824"/>
      <c r="H466" s="824"/>
    </row>
    <row r="467" spans="2:9">
      <c r="B467" s="824" t="s">
        <v>914</v>
      </c>
      <c r="C467" s="824"/>
      <c r="D467" s="824"/>
      <c r="E467" s="824"/>
      <c r="F467" s="824"/>
      <c r="G467" s="824"/>
      <c r="H467" s="824"/>
    </row>
    <row r="468" spans="2:9">
      <c r="B468" s="249"/>
      <c r="C468" s="78"/>
      <c r="D468" s="249"/>
      <c r="E468" s="548"/>
      <c r="F468" s="548"/>
      <c r="G468" s="249"/>
      <c r="H468" s="249"/>
    </row>
    <row r="469" spans="2:9">
      <c r="B469" s="567">
        <v>1</v>
      </c>
      <c r="C469" s="954" t="s">
        <v>172</v>
      </c>
      <c r="D469" s="954"/>
      <c r="E469" s="250" t="s">
        <v>438</v>
      </c>
      <c r="H469" s="249"/>
    </row>
    <row r="470" spans="2:9" ht="12" customHeight="1">
      <c r="B470" s="78">
        <v>2</v>
      </c>
      <c r="C470" s="958" t="s">
        <v>173</v>
      </c>
      <c r="D470" s="958"/>
      <c r="E470" s="959" t="s">
        <v>930</v>
      </c>
      <c r="F470" s="959"/>
      <c r="G470" s="959"/>
      <c r="H470" s="959"/>
    </row>
    <row r="471" spans="2:9">
      <c r="B471" s="567">
        <v>3</v>
      </c>
      <c r="C471" s="954" t="s">
        <v>174</v>
      </c>
      <c r="D471" s="954"/>
      <c r="E471" s="250" t="s">
        <v>539</v>
      </c>
      <c r="H471" s="249"/>
    </row>
    <row r="472" spans="2:9">
      <c r="B472" s="567">
        <v>4</v>
      </c>
      <c r="C472" s="569" t="s">
        <v>183</v>
      </c>
      <c r="D472" s="569"/>
      <c r="E472" s="250" t="s">
        <v>213</v>
      </c>
      <c r="H472" s="249"/>
    </row>
    <row r="473" spans="2:9">
      <c r="B473" s="567">
        <v>5</v>
      </c>
      <c r="C473" s="569" t="s">
        <v>184</v>
      </c>
      <c r="D473" s="569"/>
      <c r="E473" s="250" t="s">
        <v>222</v>
      </c>
      <c r="F473" s="826">
        <f>H479</f>
        <v>7267000</v>
      </c>
      <c r="G473" s="826"/>
      <c r="H473" s="249"/>
    </row>
    <row r="474" spans="2:9">
      <c r="B474" s="567"/>
      <c r="C474" s="569" t="s">
        <v>194</v>
      </c>
      <c r="D474" s="569"/>
      <c r="H474" s="249"/>
    </row>
    <row r="475" spans="2:9" ht="24">
      <c r="B475" s="249"/>
      <c r="C475" s="920" t="s">
        <v>56</v>
      </c>
      <c r="D475" s="956" t="s">
        <v>0</v>
      </c>
      <c r="E475" s="828" t="s">
        <v>57</v>
      </c>
      <c r="F475" s="830"/>
      <c r="G475" s="570" t="s">
        <v>58</v>
      </c>
      <c r="H475" s="570" t="s">
        <v>59</v>
      </c>
      <c r="I475" s="636"/>
    </row>
    <row r="476" spans="2:9">
      <c r="B476" s="249"/>
      <c r="C476" s="921"/>
      <c r="D476" s="957"/>
      <c r="E476" s="831"/>
      <c r="F476" s="833"/>
      <c r="G476" s="571" t="s">
        <v>52</v>
      </c>
      <c r="H476" s="571" t="s">
        <v>52</v>
      </c>
    </row>
    <row r="477" spans="2:9">
      <c r="B477" s="249"/>
      <c r="C477" s="550">
        <v>1</v>
      </c>
      <c r="D477" s="553">
        <v>2</v>
      </c>
      <c r="E477" s="814">
        <v>3</v>
      </c>
      <c r="F477" s="815"/>
      <c r="G477" s="549">
        <v>4</v>
      </c>
      <c r="H477" s="571">
        <v>5</v>
      </c>
    </row>
    <row r="478" spans="2:9" ht="24">
      <c r="B478" s="249"/>
      <c r="C478" s="572" t="s">
        <v>460</v>
      </c>
      <c r="D478" s="583" t="s">
        <v>868</v>
      </c>
      <c r="E478" s="594"/>
      <c r="F478" s="594"/>
      <c r="G478" s="595"/>
      <c r="H478" s="390"/>
    </row>
    <row r="479" spans="2:9" ht="24">
      <c r="B479" s="249"/>
      <c r="C479" s="597" t="s">
        <v>6</v>
      </c>
      <c r="D479" s="244" t="s">
        <v>947</v>
      </c>
      <c r="E479" s="575" t="s">
        <v>218</v>
      </c>
      <c r="F479" s="575" t="s">
        <v>219</v>
      </c>
      <c r="G479" s="541"/>
      <c r="H479" s="576">
        <f>SUM(H480+H492)</f>
        <v>7267000</v>
      </c>
    </row>
    <row r="480" spans="2:9">
      <c r="B480" s="249"/>
      <c r="C480" s="91">
        <v>2</v>
      </c>
      <c r="D480" s="558" t="s">
        <v>34</v>
      </c>
      <c r="E480" s="952"/>
      <c r="F480" s="953"/>
      <c r="G480" s="577"/>
      <c r="H480" s="90">
        <f>SUM(H482:H491)</f>
        <v>7267000</v>
      </c>
    </row>
    <row r="481" spans="2:10">
      <c r="B481" s="249"/>
      <c r="C481" s="91"/>
      <c r="D481" s="557" t="s">
        <v>416</v>
      </c>
      <c r="E481" s="935">
        <v>542000</v>
      </c>
      <c r="F481" s="937"/>
      <c r="G481" s="577"/>
      <c r="H481" s="90"/>
      <c r="J481" s="250">
        <f>H479*7.5%</f>
        <v>545025</v>
      </c>
    </row>
    <row r="482" spans="2:10">
      <c r="B482" s="249"/>
      <c r="C482" s="91"/>
      <c r="D482" s="546" t="s">
        <v>207</v>
      </c>
      <c r="E482" s="101">
        <v>1</v>
      </c>
      <c r="F482" s="554" t="s">
        <v>64</v>
      </c>
      <c r="G482" s="89">
        <f>E481*25%</f>
        <v>135500</v>
      </c>
      <c r="H482" s="92">
        <f>E482*G482</f>
        <v>135500</v>
      </c>
    </row>
    <row r="483" spans="2:10">
      <c r="B483" s="249"/>
      <c r="C483" s="94"/>
      <c r="D483" s="546" t="s">
        <v>695</v>
      </c>
      <c r="E483" s="101">
        <v>1</v>
      </c>
      <c r="F483" s="554" t="s">
        <v>64</v>
      </c>
      <c r="G483" s="89">
        <f>E481*15%</f>
        <v>81300</v>
      </c>
      <c r="H483" s="92">
        <f>E483*G483</f>
        <v>81300</v>
      </c>
    </row>
    <row r="484" spans="2:10">
      <c r="B484" s="249"/>
      <c r="C484" s="94"/>
      <c r="D484" s="546" t="s">
        <v>70</v>
      </c>
      <c r="E484" s="101">
        <v>6</v>
      </c>
      <c r="F484" s="554" t="s">
        <v>64</v>
      </c>
      <c r="G484" s="89">
        <f>E481*60%/6</f>
        <v>54200</v>
      </c>
      <c r="H484" s="92">
        <f>E484*G484</f>
        <v>325200</v>
      </c>
    </row>
    <row r="485" spans="2:10">
      <c r="B485" s="249"/>
      <c r="C485" s="94"/>
      <c r="D485" s="552" t="s">
        <v>417</v>
      </c>
      <c r="E485" s="101">
        <v>50</v>
      </c>
      <c r="F485" s="554" t="s">
        <v>64</v>
      </c>
      <c r="G485" s="578">
        <v>15000</v>
      </c>
      <c r="H485" s="92">
        <f t="shared" ref="H485:H491" si="12">E485*G485</f>
        <v>750000</v>
      </c>
    </row>
    <row r="486" spans="2:10">
      <c r="B486" s="249"/>
      <c r="C486" s="94"/>
      <c r="D486" s="552" t="s">
        <v>418</v>
      </c>
      <c r="E486" s="101">
        <v>50</v>
      </c>
      <c r="F486" s="554" t="s">
        <v>64</v>
      </c>
      <c r="G486" s="578">
        <v>10000</v>
      </c>
      <c r="H486" s="92">
        <f t="shared" si="12"/>
        <v>500000</v>
      </c>
    </row>
    <row r="487" spans="2:10">
      <c r="B487" s="249"/>
      <c r="C487" s="94"/>
      <c r="D487" s="555" t="s">
        <v>422</v>
      </c>
      <c r="E487" s="554">
        <v>50</v>
      </c>
      <c r="F487" s="554" t="s">
        <v>64</v>
      </c>
      <c r="G487" s="578">
        <v>25000</v>
      </c>
      <c r="H487" s="92">
        <f t="shared" si="12"/>
        <v>1250000</v>
      </c>
    </row>
    <row r="488" spans="2:10">
      <c r="B488" s="249"/>
      <c r="C488" s="94"/>
      <c r="D488" s="557" t="s">
        <v>425</v>
      </c>
      <c r="E488" s="554">
        <v>50</v>
      </c>
      <c r="F488" s="554" t="s">
        <v>64</v>
      </c>
      <c r="G488" s="578">
        <v>12500</v>
      </c>
      <c r="H488" s="92">
        <f t="shared" si="12"/>
        <v>625000</v>
      </c>
    </row>
    <row r="489" spans="2:10">
      <c r="B489" s="249"/>
      <c r="C489" s="94"/>
      <c r="D489" s="557" t="s">
        <v>513</v>
      </c>
      <c r="E489" s="554">
        <v>2</v>
      </c>
      <c r="F489" s="554" t="s">
        <v>64</v>
      </c>
      <c r="G489" s="578">
        <v>500000</v>
      </c>
      <c r="H489" s="92">
        <f t="shared" si="12"/>
        <v>1000000</v>
      </c>
    </row>
    <row r="490" spans="2:10">
      <c r="B490" s="249"/>
      <c r="C490" s="94"/>
      <c r="D490" s="557" t="s">
        <v>512</v>
      </c>
      <c r="E490" s="554">
        <v>50</v>
      </c>
      <c r="F490" s="554" t="s">
        <v>64</v>
      </c>
      <c r="G490" s="578">
        <v>50000</v>
      </c>
      <c r="H490" s="92">
        <f t="shared" si="12"/>
        <v>2500000</v>
      </c>
    </row>
    <row r="491" spans="2:10">
      <c r="B491" s="249"/>
      <c r="C491" s="397"/>
      <c r="D491" s="579" t="s">
        <v>424</v>
      </c>
      <c r="E491" s="94">
        <v>1</v>
      </c>
      <c r="F491" s="554" t="s">
        <v>64</v>
      </c>
      <c r="G491" s="383">
        <v>100000</v>
      </c>
      <c r="H491" s="92">
        <f t="shared" si="12"/>
        <v>100000</v>
      </c>
    </row>
    <row r="492" spans="2:10">
      <c r="B492" s="249"/>
      <c r="C492" s="580">
        <v>3</v>
      </c>
      <c r="D492" s="387" t="s">
        <v>32</v>
      </c>
      <c r="E492" s="581"/>
      <c r="F492" s="551"/>
      <c r="G492" s="383"/>
      <c r="H492" s="265">
        <f>SUM(H493)</f>
        <v>0</v>
      </c>
    </row>
    <row r="493" spans="2:10">
      <c r="B493" s="249"/>
      <c r="C493" s="397"/>
      <c r="D493" s="579"/>
      <c r="E493" s="581"/>
      <c r="F493" s="551"/>
      <c r="G493" s="383"/>
      <c r="H493" s="265"/>
    </row>
    <row r="494" spans="2:10">
      <c r="B494" s="249"/>
      <c r="C494" s="101"/>
      <c r="D494" s="580" t="s">
        <v>221</v>
      </c>
      <c r="E494" s="546"/>
      <c r="F494" s="546"/>
      <c r="G494" s="383"/>
      <c r="H494" s="265">
        <f>H479</f>
        <v>7267000</v>
      </c>
    </row>
    <row r="495" spans="2:10" ht="12" customHeight="1">
      <c r="B495" s="249"/>
      <c r="C495" s="543"/>
      <c r="D495" s="249"/>
      <c r="E495" s="548"/>
      <c r="F495" s="962" t="s">
        <v>982</v>
      </c>
      <c r="G495" s="962"/>
      <c r="H495" s="962"/>
    </row>
    <row r="496" spans="2:10">
      <c r="B496" s="249"/>
      <c r="C496" s="543"/>
      <c r="D496" s="543"/>
      <c r="E496" s="548"/>
      <c r="F496" s="548"/>
      <c r="G496" s="249"/>
      <c r="H496" s="249"/>
    </row>
    <row r="497" spans="2:8" ht="12" customHeight="1">
      <c r="B497" s="249"/>
      <c r="C497" s="249"/>
      <c r="D497" s="78" t="s">
        <v>76</v>
      </c>
      <c r="E497" s="548"/>
      <c r="F497" s="810" t="s">
        <v>77</v>
      </c>
      <c r="G497" s="810"/>
      <c r="H497" s="810"/>
    </row>
    <row r="498" spans="2:8">
      <c r="B498" s="249"/>
      <c r="C498" s="249"/>
      <c r="D498" s="543" t="s">
        <v>78</v>
      </c>
      <c r="E498" s="548"/>
      <c r="F498" s="548"/>
      <c r="G498" s="582"/>
      <c r="H498" s="249"/>
    </row>
    <row r="499" spans="2:8">
      <c r="B499" s="249"/>
      <c r="C499" s="543"/>
      <c r="D499" s="543"/>
      <c r="E499" s="548"/>
      <c r="F499" s="548"/>
      <c r="G499" s="249"/>
      <c r="H499" s="249"/>
    </row>
    <row r="500" spans="2:8">
      <c r="B500" s="249"/>
      <c r="C500" s="543"/>
      <c r="D500" s="543"/>
      <c r="E500" s="548"/>
      <c r="F500" s="548"/>
      <c r="G500" s="249"/>
      <c r="H500" s="249"/>
    </row>
    <row r="501" spans="2:8">
      <c r="B501" s="249"/>
      <c r="C501" s="543"/>
      <c r="D501" s="543"/>
      <c r="E501" s="548"/>
      <c r="F501" s="548"/>
      <c r="G501" s="249"/>
      <c r="H501" s="249"/>
    </row>
    <row r="502" spans="2:8" ht="12" customHeight="1">
      <c r="B502" s="249"/>
      <c r="C502" s="543"/>
      <c r="D502" s="78" t="s">
        <v>51</v>
      </c>
      <c r="E502" s="548"/>
      <c r="F502" s="810" t="s">
        <v>428</v>
      </c>
      <c r="G502" s="810"/>
      <c r="H502" s="810"/>
    </row>
    <row r="505" spans="2:8">
      <c r="B505" s="824" t="s">
        <v>54</v>
      </c>
      <c r="C505" s="824"/>
      <c r="D505" s="824"/>
      <c r="E505" s="824"/>
      <c r="F505" s="824"/>
      <c r="G505" s="824"/>
      <c r="H505" s="824"/>
    </row>
    <row r="506" spans="2:8">
      <c r="B506" s="824" t="s">
        <v>55</v>
      </c>
      <c r="C506" s="824"/>
      <c r="D506" s="824"/>
      <c r="E506" s="824"/>
      <c r="F506" s="824"/>
      <c r="G506" s="824"/>
      <c r="H506" s="824"/>
    </row>
    <row r="507" spans="2:8">
      <c r="B507" s="824" t="s">
        <v>914</v>
      </c>
      <c r="C507" s="824"/>
      <c r="D507" s="824"/>
      <c r="E507" s="824"/>
      <c r="F507" s="824"/>
      <c r="G507" s="824"/>
      <c r="H507" s="824"/>
    </row>
    <row r="508" spans="2:8" ht="6.75" customHeight="1">
      <c r="B508" s="249"/>
      <c r="C508" s="78"/>
      <c r="D508" s="249"/>
      <c r="E508" s="548"/>
      <c r="F508" s="548"/>
      <c r="G508" s="249"/>
      <c r="H508" s="249"/>
    </row>
    <row r="509" spans="2:8">
      <c r="B509" s="567">
        <v>1</v>
      </c>
      <c r="C509" s="954" t="s">
        <v>172</v>
      </c>
      <c r="D509" s="954"/>
      <c r="E509" s="250" t="s">
        <v>438</v>
      </c>
      <c r="H509" s="249"/>
    </row>
    <row r="510" spans="2:8" ht="27" customHeight="1">
      <c r="B510" s="78">
        <v>2</v>
      </c>
      <c r="C510" s="958" t="s">
        <v>173</v>
      </c>
      <c r="D510" s="958"/>
      <c r="E510" s="959" t="s">
        <v>449</v>
      </c>
      <c r="F510" s="959"/>
      <c r="G510" s="959"/>
      <c r="H510" s="959"/>
    </row>
    <row r="511" spans="2:8">
      <c r="B511" s="567">
        <v>3</v>
      </c>
      <c r="C511" s="954" t="s">
        <v>174</v>
      </c>
      <c r="D511" s="954"/>
      <c r="E511" s="250" t="s">
        <v>186</v>
      </c>
      <c r="H511" s="249"/>
    </row>
    <row r="512" spans="2:8">
      <c r="B512" s="567">
        <v>4</v>
      </c>
      <c r="C512" s="569" t="s">
        <v>183</v>
      </c>
      <c r="D512" s="569"/>
      <c r="E512" s="250" t="s">
        <v>213</v>
      </c>
      <c r="H512" s="249"/>
    </row>
    <row r="513" spans="2:10">
      <c r="B513" s="567">
        <v>5</v>
      </c>
      <c r="C513" s="569" t="s">
        <v>184</v>
      </c>
      <c r="D513" s="569"/>
      <c r="E513" s="250" t="s">
        <v>222</v>
      </c>
      <c r="F513" s="826">
        <f>H519</f>
        <v>23502500</v>
      </c>
      <c r="G513" s="826"/>
      <c r="H513" s="249"/>
    </row>
    <row r="514" spans="2:10">
      <c r="B514" s="567"/>
      <c r="C514" s="569" t="s">
        <v>194</v>
      </c>
      <c r="D514" s="569"/>
      <c r="H514" s="249"/>
    </row>
    <row r="515" spans="2:10" ht="24">
      <c r="B515" s="249"/>
      <c r="C515" s="920" t="s">
        <v>56</v>
      </c>
      <c r="D515" s="956" t="s">
        <v>0</v>
      </c>
      <c r="E515" s="828" t="s">
        <v>57</v>
      </c>
      <c r="F515" s="830"/>
      <c r="G515" s="570" t="s">
        <v>58</v>
      </c>
      <c r="H515" s="570" t="s">
        <v>59</v>
      </c>
      <c r="I515" s="636"/>
    </row>
    <row r="516" spans="2:10">
      <c r="B516" s="249"/>
      <c r="C516" s="921"/>
      <c r="D516" s="957"/>
      <c r="E516" s="831"/>
      <c r="F516" s="833"/>
      <c r="G516" s="571" t="s">
        <v>52</v>
      </c>
      <c r="H516" s="571" t="s">
        <v>52</v>
      </c>
    </row>
    <row r="517" spans="2:10">
      <c r="B517" s="249"/>
      <c r="C517" s="550">
        <v>1</v>
      </c>
      <c r="D517" s="553">
        <v>2</v>
      </c>
      <c r="E517" s="814">
        <v>3</v>
      </c>
      <c r="F517" s="815"/>
      <c r="G517" s="549">
        <v>4</v>
      </c>
      <c r="H517" s="571">
        <v>5</v>
      </c>
    </row>
    <row r="518" spans="2:10" ht="48">
      <c r="B518" s="249"/>
      <c r="C518" s="572" t="s">
        <v>851</v>
      </c>
      <c r="D518" s="583" t="s">
        <v>157</v>
      </c>
      <c r="E518" s="594"/>
      <c r="F518" s="594"/>
      <c r="G518" s="595"/>
      <c r="H518" s="390"/>
    </row>
    <row r="519" spans="2:10">
      <c r="B519" s="249"/>
      <c r="C519" s="101"/>
      <c r="D519" s="244"/>
      <c r="E519" s="575" t="s">
        <v>218</v>
      </c>
      <c r="F519" s="575" t="s">
        <v>219</v>
      </c>
      <c r="G519" s="541"/>
      <c r="H519" s="576">
        <f>SUM(H520+H534)</f>
        <v>23502500</v>
      </c>
    </row>
    <row r="520" spans="2:10">
      <c r="B520" s="249"/>
      <c r="C520" s="91">
        <v>2</v>
      </c>
      <c r="D520" s="558" t="s">
        <v>34</v>
      </c>
      <c r="E520" s="952"/>
      <c r="F520" s="953"/>
      <c r="G520" s="577"/>
      <c r="H520" s="90">
        <f>SUM(H521:H533)</f>
        <v>23502500</v>
      </c>
    </row>
    <row r="521" spans="2:10" ht="16.5" customHeight="1">
      <c r="B521" s="249"/>
      <c r="C521" s="91"/>
      <c r="D521" s="557" t="s">
        <v>416</v>
      </c>
      <c r="E521" s="935">
        <v>1640000</v>
      </c>
      <c r="F521" s="937"/>
      <c r="G521" s="577"/>
      <c r="H521" s="90"/>
      <c r="J521" s="400">
        <f>H519*7.5%</f>
        <v>1762687.5</v>
      </c>
    </row>
    <row r="522" spans="2:10">
      <c r="B522" s="249"/>
      <c r="C522" s="91"/>
      <c r="D522" s="546" t="s">
        <v>207</v>
      </c>
      <c r="E522" s="101">
        <v>1</v>
      </c>
      <c r="F522" s="554" t="s">
        <v>64</v>
      </c>
      <c r="G522" s="89">
        <f>E521*25%</f>
        <v>410000</v>
      </c>
      <c r="H522" s="92">
        <f>E522*G522</f>
        <v>410000</v>
      </c>
    </row>
    <row r="523" spans="2:10">
      <c r="B523" s="249"/>
      <c r="C523" s="94"/>
      <c r="D523" s="546" t="s">
        <v>695</v>
      </c>
      <c r="E523" s="101">
        <v>1</v>
      </c>
      <c r="F523" s="554" t="s">
        <v>64</v>
      </c>
      <c r="G523" s="89">
        <f>E521*15%</f>
        <v>246000</v>
      </c>
      <c r="H523" s="92">
        <f>E523*G523</f>
        <v>246000</v>
      </c>
    </row>
    <row r="524" spans="2:10">
      <c r="B524" s="249"/>
      <c r="C524" s="94"/>
      <c r="D524" s="546" t="s">
        <v>70</v>
      </c>
      <c r="E524" s="101">
        <v>6</v>
      </c>
      <c r="F524" s="554" t="s">
        <v>64</v>
      </c>
      <c r="G524" s="89">
        <f>E521*60%/6</f>
        <v>164000</v>
      </c>
      <c r="H524" s="92">
        <f>E524*G524</f>
        <v>984000</v>
      </c>
    </row>
    <row r="525" spans="2:10">
      <c r="B525" s="249"/>
      <c r="C525" s="94"/>
      <c r="D525" s="552" t="s">
        <v>417</v>
      </c>
      <c r="E525" s="101">
        <v>24</v>
      </c>
      <c r="F525" s="554" t="s">
        <v>64</v>
      </c>
      <c r="G525" s="578">
        <v>15000</v>
      </c>
      <c r="H525" s="92">
        <f t="shared" ref="H525:H533" si="13">E525*G525</f>
        <v>360000</v>
      </c>
    </row>
    <row r="526" spans="2:10">
      <c r="B526" s="249"/>
      <c r="C526" s="94"/>
      <c r="D526" s="552" t="s">
        <v>418</v>
      </c>
      <c r="E526" s="101">
        <v>24</v>
      </c>
      <c r="F526" s="554" t="s">
        <v>64</v>
      </c>
      <c r="G526" s="578">
        <v>10000</v>
      </c>
      <c r="H526" s="92">
        <f t="shared" si="13"/>
        <v>240000</v>
      </c>
    </row>
    <row r="527" spans="2:10">
      <c r="B527" s="249"/>
      <c r="C527" s="94"/>
      <c r="D527" s="555" t="s">
        <v>422</v>
      </c>
      <c r="E527" s="554">
        <v>27</v>
      </c>
      <c r="F527" s="554" t="s">
        <v>64</v>
      </c>
      <c r="G527" s="578">
        <v>25000</v>
      </c>
      <c r="H527" s="92">
        <f t="shared" si="13"/>
        <v>675000</v>
      </c>
    </row>
    <row r="528" spans="2:10">
      <c r="B528" s="249"/>
      <c r="C528" s="94"/>
      <c r="D528" s="557" t="s">
        <v>425</v>
      </c>
      <c r="E528" s="554">
        <v>27</v>
      </c>
      <c r="F528" s="554" t="s">
        <v>64</v>
      </c>
      <c r="G528" s="578">
        <v>12500</v>
      </c>
      <c r="H528" s="92">
        <f t="shared" si="13"/>
        <v>337500</v>
      </c>
    </row>
    <row r="529" spans="2:12">
      <c r="B529" s="249"/>
      <c r="C529" s="94"/>
      <c r="D529" s="557" t="s">
        <v>513</v>
      </c>
      <c r="E529" s="554">
        <v>3</v>
      </c>
      <c r="F529" s="554" t="s">
        <v>64</v>
      </c>
      <c r="G529" s="578">
        <v>500000</v>
      </c>
      <c r="H529" s="92">
        <f t="shared" si="13"/>
        <v>1500000</v>
      </c>
    </row>
    <row r="530" spans="2:12">
      <c r="B530" s="249"/>
      <c r="C530" s="94"/>
      <c r="D530" s="557" t="s">
        <v>512</v>
      </c>
      <c r="E530" s="554">
        <v>24</v>
      </c>
      <c r="F530" s="554" t="s">
        <v>64</v>
      </c>
      <c r="G530" s="578">
        <v>50000</v>
      </c>
      <c r="H530" s="92">
        <f t="shared" si="13"/>
        <v>1200000</v>
      </c>
    </row>
    <row r="531" spans="2:12">
      <c r="B531" s="249"/>
      <c r="C531" s="397"/>
      <c r="D531" s="579" t="s">
        <v>424</v>
      </c>
      <c r="E531" s="94">
        <v>1</v>
      </c>
      <c r="F531" s="554" t="s">
        <v>64</v>
      </c>
      <c r="G531" s="383">
        <v>50000</v>
      </c>
      <c r="H531" s="92">
        <f t="shared" si="13"/>
        <v>50000</v>
      </c>
      <c r="J531" s="250">
        <f>1555660/27</f>
        <v>57617.037037037036</v>
      </c>
      <c r="L531" s="250">
        <v>1000000</v>
      </c>
    </row>
    <row r="532" spans="2:12" ht="24">
      <c r="B532" s="249"/>
      <c r="C532" s="397"/>
      <c r="D532" s="579" t="s">
        <v>627</v>
      </c>
      <c r="E532" s="94">
        <v>27</v>
      </c>
      <c r="F532" s="554" t="s">
        <v>64</v>
      </c>
      <c r="G532" s="383">
        <v>500000</v>
      </c>
      <c r="H532" s="92">
        <f t="shared" si="13"/>
        <v>13500000</v>
      </c>
      <c r="J532" s="250">
        <f>8426370/27</f>
        <v>312087.77777777775</v>
      </c>
      <c r="L532" s="250">
        <f>996877/27</f>
        <v>36921.370370370372</v>
      </c>
    </row>
    <row r="533" spans="2:12">
      <c r="B533" s="593"/>
      <c r="C533" s="397"/>
      <c r="D533" s="579" t="s">
        <v>940</v>
      </c>
      <c r="E533" s="94">
        <v>2</v>
      </c>
      <c r="F533" s="565" t="s">
        <v>64</v>
      </c>
      <c r="G533" s="383">
        <v>2000000</v>
      </c>
      <c r="H533" s="92">
        <f t="shared" si="13"/>
        <v>4000000</v>
      </c>
    </row>
    <row r="534" spans="2:12">
      <c r="B534" s="249"/>
      <c r="C534" s="580">
        <v>3</v>
      </c>
      <c r="D534" s="387" t="s">
        <v>32</v>
      </c>
      <c r="E534" s="581"/>
      <c r="F534" s="551"/>
      <c r="G534" s="383"/>
      <c r="H534" s="265">
        <f>SUM(H535)</f>
        <v>0</v>
      </c>
      <c r="J534" s="250">
        <f>124630-49260</f>
        <v>75370</v>
      </c>
      <c r="L534" s="250">
        <f>L531-L532</f>
        <v>963078.62962962966</v>
      </c>
    </row>
    <row r="535" spans="2:12">
      <c r="B535" s="249"/>
      <c r="C535" s="397"/>
      <c r="D535" s="579"/>
      <c r="E535" s="581"/>
      <c r="F535" s="551"/>
      <c r="G535" s="383"/>
      <c r="H535" s="265"/>
    </row>
    <row r="536" spans="2:12">
      <c r="B536" s="249"/>
      <c r="C536" s="101"/>
      <c r="D536" s="580" t="s">
        <v>221</v>
      </c>
      <c r="E536" s="546"/>
      <c r="F536" s="546"/>
      <c r="G536" s="383"/>
      <c r="H536" s="265">
        <f>H519</f>
        <v>23502500</v>
      </c>
    </row>
    <row r="537" spans="2:12" ht="12" customHeight="1">
      <c r="B537" s="249"/>
      <c r="C537" s="543"/>
      <c r="D537" s="249"/>
      <c r="E537" s="548"/>
      <c r="F537" s="962" t="s">
        <v>997</v>
      </c>
      <c r="G537" s="962"/>
      <c r="H537" s="962"/>
    </row>
    <row r="538" spans="2:12" ht="12" customHeight="1">
      <c r="B538" s="249"/>
      <c r="C538" s="249"/>
      <c r="D538" s="78" t="s">
        <v>76</v>
      </c>
      <c r="E538" s="548"/>
      <c r="F538" s="810" t="s">
        <v>77</v>
      </c>
      <c r="G538" s="810"/>
      <c r="H538" s="810"/>
    </row>
    <row r="539" spans="2:12">
      <c r="B539" s="249"/>
      <c r="C539" s="249"/>
      <c r="D539" s="543" t="s">
        <v>78</v>
      </c>
      <c r="E539" s="548"/>
      <c r="F539" s="548"/>
      <c r="G539" s="582"/>
      <c r="H539" s="249"/>
    </row>
    <row r="540" spans="2:12">
      <c r="B540" s="249"/>
      <c r="C540" s="543"/>
      <c r="D540" s="543"/>
      <c r="E540" s="548"/>
      <c r="F540" s="548"/>
      <c r="G540" s="249"/>
      <c r="H540" s="249"/>
    </row>
    <row r="541" spans="2:12">
      <c r="B541" s="249"/>
      <c r="C541" s="543"/>
      <c r="D541" s="543"/>
      <c r="E541" s="548"/>
      <c r="F541" s="548"/>
      <c r="G541" s="249"/>
      <c r="H541" s="249"/>
    </row>
    <row r="542" spans="2:12">
      <c r="B542" s="249"/>
      <c r="C542" s="543"/>
      <c r="D542" s="543"/>
      <c r="E542" s="548"/>
      <c r="F542" s="548"/>
      <c r="G542" s="249"/>
      <c r="H542" s="249"/>
    </row>
    <row r="543" spans="2:12" ht="12" customHeight="1">
      <c r="B543" s="249"/>
      <c r="C543" s="543"/>
      <c r="D543" s="78" t="s">
        <v>51</v>
      </c>
      <c r="E543" s="548"/>
      <c r="F543" s="810" t="s">
        <v>224</v>
      </c>
      <c r="G543" s="810"/>
      <c r="H543" s="810"/>
    </row>
    <row r="544" spans="2:12">
      <c r="B544" s="249"/>
      <c r="C544" s="543"/>
      <c r="D544" s="78"/>
      <c r="E544" s="548"/>
      <c r="F544" s="543"/>
      <c r="G544" s="543"/>
      <c r="H544" s="543"/>
    </row>
    <row r="545" spans="2:9">
      <c r="B545" s="824" t="s">
        <v>54</v>
      </c>
      <c r="C545" s="824"/>
      <c r="D545" s="824"/>
      <c r="E545" s="824"/>
      <c r="F545" s="824"/>
      <c r="G545" s="824"/>
      <c r="H545" s="824"/>
    </row>
    <row r="546" spans="2:9">
      <c r="B546" s="824" t="s">
        <v>55</v>
      </c>
      <c r="C546" s="824"/>
      <c r="D546" s="824"/>
      <c r="E546" s="824"/>
      <c r="F546" s="824"/>
      <c r="G546" s="824"/>
      <c r="H546" s="824"/>
    </row>
    <row r="547" spans="2:9">
      <c r="B547" s="824" t="s">
        <v>914</v>
      </c>
      <c r="C547" s="824"/>
      <c r="D547" s="824"/>
      <c r="E547" s="824"/>
      <c r="F547" s="824"/>
      <c r="G547" s="824"/>
      <c r="H547" s="824"/>
    </row>
    <row r="548" spans="2:9">
      <c r="B548" s="249"/>
      <c r="C548" s="78"/>
      <c r="D548" s="249"/>
      <c r="E548" s="548"/>
      <c r="F548" s="548"/>
      <c r="G548" s="249"/>
      <c r="H548" s="249"/>
    </row>
    <row r="549" spans="2:9">
      <c r="B549" s="567">
        <v>1</v>
      </c>
      <c r="C549" s="954" t="s">
        <v>172</v>
      </c>
      <c r="D549" s="954"/>
      <c r="E549" s="250" t="s">
        <v>438</v>
      </c>
      <c r="H549" s="249"/>
    </row>
    <row r="550" spans="2:9" ht="30.75" customHeight="1">
      <c r="B550" s="78">
        <v>2</v>
      </c>
      <c r="C550" s="958" t="s">
        <v>173</v>
      </c>
      <c r="D550" s="958"/>
      <c r="E550" s="959" t="s">
        <v>876</v>
      </c>
      <c r="F550" s="959"/>
      <c r="G550" s="959"/>
      <c r="H550" s="959"/>
    </row>
    <row r="551" spans="2:9">
      <c r="B551" s="567">
        <v>3</v>
      </c>
      <c r="C551" s="954" t="s">
        <v>174</v>
      </c>
      <c r="D551" s="954"/>
      <c r="E551" s="250" t="s">
        <v>186</v>
      </c>
      <c r="H551" s="249"/>
    </row>
    <row r="552" spans="2:9">
      <c r="B552" s="567">
        <v>4</v>
      </c>
      <c r="C552" s="569" t="s">
        <v>183</v>
      </c>
      <c r="D552" s="569"/>
      <c r="E552" s="250" t="s">
        <v>213</v>
      </c>
      <c r="H552" s="249"/>
    </row>
    <row r="553" spans="2:9">
      <c r="B553" s="567">
        <v>5</v>
      </c>
      <c r="C553" s="569" t="s">
        <v>184</v>
      </c>
      <c r="D553" s="569"/>
      <c r="E553" s="250" t="s">
        <v>222</v>
      </c>
      <c r="F553" s="826">
        <f>H558</f>
        <v>15535000</v>
      </c>
      <c r="G553" s="826"/>
      <c r="H553" s="249"/>
    </row>
    <row r="554" spans="2:9">
      <c r="B554" s="567"/>
      <c r="C554" s="569" t="s">
        <v>194</v>
      </c>
      <c r="D554" s="569"/>
      <c r="H554" s="249"/>
    </row>
    <row r="555" spans="2:9" ht="24">
      <c r="B555" s="249"/>
      <c r="C555" s="920" t="s">
        <v>56</v>
      </c>
      <c r="D555" s="956" t="s">
        <v>0</v>
      </c>
      <c r="E555" s="828" t="s">
        <v>57</v>
      </c>
      <c r="F555" s="830"/>
      <c r="G555" s="570" t="s">
        <v>58</v>
      </c>
      <c r="H555" s="570" t="s">
        <v>59</v>
      </c>
      <c r="I555" s="636"/>
    </row>
    <row r="556" spans="2:9">
      <c r="B556" s="249"/>
      <c r="C556" s="921"/>
      <c r="D556" s="957"/>
      <c r="E556" s="831"/>
      <c r="F556" s="833"/>
      <c r="G556" s="571" t="s">
        <v>52</v>
      </c>
      <c r="H556" s="571" t="s">
        <v>52</v>
      </c>
    </row>
    <row r="557" spans="2:9">
      <c r="B557" s="249"/>
      <c r="C557" s="550">
        <v>1</v>
      </c>
      <c r="D557" s="553">
        <v>2</v>
      </c>
      <c r="E557" s="814">
        <v>3</v>
      </c>
      <c r="F557" s="816"/>
      <c r="G557" s="539">
        <v>4</v>
      </c>
      <c r="H557" s="571">
        <v>5</v>
      </c>
    </row>
    <row r="558" spans="2:9" ht="24">
      <c r="B558" s="249"/>
      <c r="C558" s="572" t="s">
        <v>461</v>
      </c>
      <c r="D558" s="583" t="s">
        <v>875</v>
      </c>
      <c r="E558" s="598" t="s">
        <v>630</v>
      </c>
      <c r="F558" s="598" t="s">
        <v>631</v>
      </c>
      <c r="G558" s="595"/>
      <c r="H558" s="463">
        <f>SUM(H559+H565)</f>
        <v>15535000</v>
      </c>
    </row>
    <row r="559" spans="2:9">
      <c r="B559" s="249"/>
      <c r="C559" s="91">
        <v>2</v>
      </c>
      <c r="D559" s="558" t="s">
        <v>34</v>
      </c>
      <c r="E559" s="952"/>
      <c r="F559" s="953"/>
      <c r="G559" s="577"/>
      <c r="H559" s="90">
        <f>SUM(H560:H564)</f>
        <v>8535000</v>
      </c>
    </row>
    <row r="560" spans="2:9" ht="16.5" customHeight="1">
      <c r="B560" s="249"/>
      <c r="C560" s="91"/>
      <c r="D560" s="557" t="s">
        <v>416</v>
      </c>
      <c r="E560" s="935">
        <v>1335000</v>
      </c>
      <c r="F560" s="937"/>
      <c r="G560" s="577"/>
      <c r="H560" s="90"/>
      <c r="I560" s="400">
        <f>H558*7.5%</f>
        <v>1165125</v>
      </c>
    </row>
    <row r="561" spans="2:8">
      <c r="B561" s="249"/>
      <c r="C561" s="91"/>
      <c r="D561" s="546" t="s">
        <v>207</v>
      </c>
      <c r="E561" s="101">
        <v>1</v>
      </c>
      <c r="F561" s="554" t="s">
        <v>64</v>
      </c>
      <c r="G561" s="89">
        <f>E560*25%</f>
        <v>333750</v>
      </c>
      <c r="H561" s="92">
        <f>E561*G561</f>
        <v>333750</v>
      </c>
    </row>
    <row r="562" spans="2:8">
      <c r="B562" s="249"/>
      <c r="C562" s="94"/>
      <c r="D562" s="546" t="s">
        <v>695</v>
      </c>
      <c r="E562" s="101">
        <v>1</v>
      </c>
      <c r="F562" s="554" t="s">
        <v>64</v>
      </c>
      <c r="G562" s="89">
        <f>E560*15%</f>
        <v>200250</v>
      </c>
      <c r="H562" s="92">
        <f>E562*G562</f>
        <v>200250</v>
      </c>
    </row>
    <row r="563" spans="2:8">
      <c r="B563" s="249"/>
      <c r="C563" s="94"/>
      <c r="D563" s="546" t="s">
        <v>70</v>
      </c>
      <c r="E563" s="101">
        <v>6</v>
      </c>
      <c r="F563" s="554" t="s">
        <v>64</v>
      </c>
      <c r="G563" s="89">
        <f>E560*60%/6</f>
        <v>133500</v>
      </c>
      <c r="H563" s="92">
        <f>E563*G563</f>
        <v>801000</v>
      </c>
    </row>
    <row r="564" spans="2:8">
      <c r="B564" s="249"/>
      <c r="C564" s="94"/>
      <c r="D564" s="556" t="s">
        <v>877</v>
      </c>
      <c r="E564" s="101">
        <v>12</v>
      </c>
      <c r="F564" s="554" t="s">
        <v>632</v>
      </c>
      <c r="G564" s="578">
        <v>600000</v>
      </c>
      <c r="H564" s="92">
        <f t="shared" ref="H564" si="14">E564*G564</f>
        <v>7200000</v>
      </c>
    </row>
    <row r="565" spans="2:8">
      <c r="B565" s="249"/>
      <c r="C565" s="580">
        <v>3</v>
      </c>
      <c r="D565" s="387" t="s">
        <v>32</v>
      </c>
      <c r="E565" s="581"/>
      <c r="F565" s="551"/>
      <c r="G565" s="383"/>
      <c r="H565" s="265">
        <f>SUM(H566)</f>
        <v>7000000</v>
      </c>
    </row>
    <row r="566" spans="2:8">
      <c r="B566" s="249"/>
      <c r="C566" s="397"/>
      <c r="D566" s="579" t="s">
        <v>878</v>
      </c>
      <c r="E566" s="94">
        <v>10</v>
      </c>
      <c r="F566" s="94" t="s">
        <v>879</v>
      </c>
      <c r="G566" s="383">
        <v>700000</v>
      </c>
      <c r="H566" s="265">
        <f>SUM(E566*G566)</f>
        <v>7000000</v>
      </c>
    </row>
    <row r="567" spans="2:8">
      <c r="B567" s="249"/>
      <c r="C567" s="101"/>
      <c r="D567" s="580" t="s">
        <v>221</v>
      </c>
      <c r="E567" s="546"/>
      <c r="F567" s="546"/>
      <c r="G567" s="383"/>
      <c r="H567" s="265">
        <f>H558</f>
        <v>15535000</v>
      </c>
    </row>
    <row r="568" spans="2:8" ht="14.25" customHeight="1">
      <c r="B568" s="249"/>
      <c r="C568" s="543"/>
      <c r="D568" s="249"/>
      <c r="E568" s="548"/>
      <c r="F568" s="962" t="s">
        <v>982</v>
      </c>
      <c r="G568" s="962"/>
      <c r="H568" s="962"/>
    </row>
    <row r="569" spans="2:8" ht="14.1" customHeight="1">
      <c r="B569" s="249"/>
      <c r="C569" s="543"/>
      <c r="D569" s="78" t="s">
        <v>76</v>
      </c>
      <c r="E569" s="548"/>
      <c r="F569" s="810" t="s">
        <v>77</v>
      </c>
      <c r="G569" s="810"/>
      <c r="H569" s="810"/>
    </row>
    <row r="570" spans="2:8" ht="14.25" customHeight="1">
      <c r="B570" s="249"/>
      <c r="C570" s="249"/>
      <c r="D570" s="543" t="s">
        <v>78</v>
      </c>
      <c r="E570" s="548"/>
      <c r="F570" s="548"/>
      <c r="G570" s="582"/>
      <c r="H570" s="249"/>
    </row>
    <row r="571" spans="2:8" ht="30.75" customHeight="1">
      <c r="B571" s="249"/>
      <c r="C571" s="249"/>
      <c r="D571" s="543"/>
      <c r="E571" s="548"/>
      <c r="F571" s="548"/>
      <c r="G571" s="249"/>
      <c r="H571" s="249"/>
    </row>
    <row r="572" spans="2:8">
      <c r="B572" s="249"/>
      <c r="C572" s="543"/>
      <c r="D572" s="543"/>
      <c r="E572" s="548"/>
      <c r="F572" s="548"/>
      <c r="G572" s="249"/>
      <c r="H572" s="249"/>
    </row>
    <row r="573" spans="2:8">
      <c r="B573" s="249"/>
      <c r="C573" s="543"/>
      <c r="D573" s="543"/>
      <c r="E573" s="548"/>
      <c r="F573" s="548"/>
      <c r="G573" s="249"/>
      <c r="H573" s="249"/>
    </row>
    <row r="574" spans="2:8" ht="12" customHeight="1">
      <c r="B574" s="249"/>
      <c r="C574" s="543"/>
      <c r="D574" s="78" t="s">
        <v>51</v>
      </c>
      <c r="E574" s="548"/>
      <c r="F574" s="810" t="s">
        <v>224</v>
      </c>
      <c r="G574" s="810"/>
      <c r="H574" s="810"/>
    </row>
    <row r="575" spans="2:8">
      <c r="B575" s="249"/>
      <c r="C575" s="543"/>
      <c r="D575" s="543"/>
      <c r="E575" s="548"/>
      <c r="F575" s="548"/>
      <c r="G575" s="249"/>
      <c r="H575" s="249"/>
    </row>
    <row r="576" spans="2:8">
      <c r="B576" s="249"/>
      <c r="C576" s="543"/>
      <c r="D576" s="543"/>
      <c r="E576" s="548"/>
      <c r="F576" s="548"/>
      <c r="G576" s="249"/>
      <c r="H576" s="249"/>
    </row>
    <row r="577" spans="2:8">
      <c r="B577" s="249"/>
      <c r="C577" s="543"/>
      <c r="D577" s="543"/>
      <c r="E577" s="548"/>
      <c r="F577" s="548"/>
      <c r="G577" s="249"/>
      <c r="H577" s="249"/>
    </row>
    <row r="578" spans="2:8">
      <c r="B578" s="249"/>
      <c r="C578" s="543"/>
      <c r="D578" s="543"/>
      <c r="E578" s="548"/>
      <c r="F578" s="548"/>
      <c r="G578" s="249"/>
      <c r="H578" s="249"/>
    </row>
    <row r="579" spans="2:8">
      <c r="B579" s="249"/>
      <c r="C579" s="543"/>
      <c r="D579" s="78"/>
      <c r="E579" s="548"/>
      <c r="F579" s="543"/>
      <c r="G579" s="543"/>
      <c r="H579" s="543"/>
    </row>
    <row r="583" spans="2:8">
      <c r="B583" s="824" t="s">
        <v>54</v>
      </c>
      <c r="C583" s="824"/>
      <c r="D583" s="824"/>
      <c r="E583" s="824"/>
      <c r="F583" s="824"/>
      <c r="G583" s="824"/>
      <c r="H583" s="824"/>
    </row>
    <row r="584" spans="2:8">
      <c r="B584" s="824" t="s">
        <v>55</v>
      </c>
      <c r="C584" s="824"/>
      <c r="D584" s="824"/>
      <c r="E584" s="824"/>
      <c r="F584" s="824"/>
      <c r="G584" s="824"/>
      <c r="H584" s="824"/>
    </row>
    <row r="585" spans="2:8">
      <c r="B585" s="824" t="s">
        <v>914</v>
      </c>
      <c r="C585" s="824"/>
      <c r="D585" s="824"/>
      <c r="E585" s="824"/>
      <c r="F585" s="824"/>
      <c r="G585" s="824"/>
      <c r="H585" s="824"/>
    </row>
    <row r="586" spans="2:8" ht="6.75" customHeight="1">
      <c r="B586" s="249"/>
      <c r="C586" s="78"/>
      <c r="D586" s="249"/>
      <c r="E586" s="548"/>
      <c r="F586" s="548"/>
      <c r="G586" s="249"/>
      <c r="H586" s="249"/>
    </row>
    <row r="587" spans="2:8">
      <c r="B587" s="567">
        <v>1</v>
      </c>
      <c r="C587" s="954" t="s">
        <v>172</v>
      </c>
      <c r="D587" s="954"/>
      <c r="E587" s="250" t="s">
        <v>438</v>
      </c>
      <c r="H587" s="249"/>
    </row>
    <row r="588" spans="2:8" ht="32.25" customHeight="1">
      <c r="B588" s="78">
        <v>2</v>
      </c>
      <c r="C588" s="958" t="s">
        <v>173</v>
      </c>
      <c r="D588" s="958"/>
      <c r="E588" s="959" t="s">
        <v>869</v>
      </c>
      <c r="F588" s="959"/>
      <c r="G588" s="959"/>
      <c r="H588" s="959"/>
    </row>
    <row r="589" spans="2:8">
      <c r="B589" s="567">
        <v>3</v>
      </c>
      <c r="C589" s="954" t="s">
        <v>174</v>
      </c>
      <c r="D589" s="954"/>
      <c r="E589" s="250" t="s">
        <v>534</v>
      </c>
      <c r="H589" s="249"/>
    </row>
    <row r="590" spans="2:8">
      <c r="B590" s="567">
        <v>4</v>
      </c>
      <c r="C590" s="569" t="s">
        <v>183</v>
      </c>
      <c r="D590" s="569"/>
      <c r="E590" s="250" t="s">
        <v>213</v>
      </c>
      <c r="H590" s="249"/>
    </row>
    <row r="591" spans="2:8">
      <c r="B591" s="567">
        <v>5</v>
      </c>
      <c r="C591" s="569" t="s">
        <v>184</v>
      </c>
      <c r="D591" s="569"/>
      <c r="E591" s="250" t="s">
        <v>222</v>
      </c>
      <c r="F591" s="826">
        <f>H597</f>
        <v>17657000</v>
      </c>
      <c r="G591" s="826"/>
      <c r="H591" s="249"/>
    </row>
    <row r="592" spans="2:8">
      <c r="B592" s="567"/>
      <c r="C592" s="569" t="s">
        <v>194</v>
      </c>
      <c r="D592" s="569"/>
      <c r="H592" s="249"/>
    </row>
    <row r="593" spans="2:10" ht="24">
      <c r="B593" s="249"/>
      <c r="C593" s="920" t="s">
        <v>56</v>
      </c>
      <c r="D593" s="956" t="s">
        <v>0</v>
      </c>
      <c r="E593" s="828" t="s">
        <v>57</v>
      </c>
      <c r="F593" s="830"/>
      <c r="G593" s="570" t="s">
        <v>58</v>
      </c>
      <c r="H593" s="570" t="s">
        <v>59</v>
      </c>
      <c r="I593" s="636"/>
    </row>
    <row r="594" spans="2:10">
      <c r="B594" s="249"/>
      <c r="C594" s="921"/>
      <c r="D594" s="957"/>
      <c r="E594" s="831"/>
      <c r="F594" s="833"/>
      <c r="G594" s="571" t="s">
        <v>52</v>
      </c>
      <c r="H594" s="571" t="s">
        <v>52</v>
      </c>
    </row>
    <row r="595" spans="2:10">
      <c r="B595" s="249"/>
      <c r="C595" s="550">
        <v>1</v>
      </c>
      <c r="D595" s="553">
        <v>2</v>
      </c>
      <c r="E595" s="814">
        <v>3</v>
      </c>
      <c r="F595" s="815"/>
      <c r="G595" s="549">
        <v>4</v>
      </c>
      <c r="H595" s="571">
        <v>5</v>
      </c>
    </row>
    <row r="596" spans="2:10" ht="24">
      <c r="B596" s="249"/>
      <c r="C596" s="572" t="s">
        <v>462</v>
      </c>
      <c r="D596" s="583" t="s">
        <v>725</v>
      </c>
      <c r="E596" s="560"/>
      <c r="F596" s="560"/>
      <c r="G596" s="244"/>
      <c r="H596" s="390"/>
    </row>
    <row r="597" spans="2:10">
      <c r="B597" s="249"/>
      <c r="C597" s="101"/>
      <c r="D597" s="583"/>
      <c r="E597" s="575" t="s">
        <v>218</v>
      </c>
      <c r="F597" s="575" t="s">
        <v>219</v>
      </c>
      <c r="G597" s="541"/>
      <c r="H597" s="576">
        <f>SUM(H598+H611)</f>
        <v>17657000</v>
      </c>
    </row>
    <row r="598" spans="2:10">
      <c r="B598" s="249"/>
      <c r="C598" s="91">
        <v>2</v>
      </c>
      <c r="D598" s="558" t="s">
        <v>34</v>
      </c>
      <c r="E598" s="952"/>
      <c r="F598" s="953"/>
      <c r="G598" s="577"/>
      <c r="H598" s="90">
        <f>SUM(H599:H610)</f>
        <v>17657000</v>
      </c>
    </row>
    <row r="599" spans="2:10" ht="18.75" customHeight="1">
      <c r="B599" s="249"/>
      <c r="C599" s="91"/>
      <c r="D599" s="557" t="s">
        <v>416</v>
      </c>
      <c r="E599" s="935">
        <v>1232000</v>
      </c>
      <c r="F599" s="937"/>
      <c r="G599" s="577"/>
      <c r="H599" s="90"/>
      <c r="J599" s="250">
        <f>H597*7.5%</f>
        <v>1324275</v>
      </c>
    </row>
    <row r="600" spans="2:10">
      <c r="B600" s="249"/>
      <c r="C600" s="91"/>
      <c r="D600" s="546" t="s">
        <v>207</v>
      </c>
      <c r="E600" s="101">
        <v>1</v>
      </c>
      <c r="F600" s="554" t="s">
        <v>64</v>
      </c>
      <c r="G600" s="89">
        <f>E599*25%</f>
        <v>308000</v>
      </c>
      <c r="H600" s="92">
        <f>E600*G600</f>
        <v>308000</v>
      </c>
    </row>
    <row r="601" spans="2:10">
      <c r="B601" s="249"/>
      <c r="C601" s="94"/>
      <c r="D601" s="546" t="s">
        <v>695</v>
      </c>
      <c r="E601" s="101">
        <v>1</v>
      </c>
      <c r="F601" s="554" t="s">
        <v>64</v>
      </c>
      <c r="G601" s="89">
        <f>E599*15%</f>
        <v>184800</v>
      </c>
      <c r="H601" s="92">
        <f>E601*G601</f>
        <v>184800</v>
      </c>
    </row>
    <row r="602" spans="2:10">
      <c r="B602" s="249"/>
      <c r="C602" s="94"/>
      <c r="D602" s="546" t="s">
        <v>70</v>
      </c>
      <c r="E602" s="101">
        <v>6</v>
      </c>
      <c r="F602" s="554" t="s">
        <v>64</v>
      </c>
      <c r="G602" s="89">
        <f>E599*60%/6</f>
        <v>123200</v>
      </c>
      <c r="H602" s="92">
        <f>E602*G602</f>
        <v>739200</v>
      </c>
    </row>
    <row r="603" spans="2:10">
      <c r="B603" s="249"/>
      <c r="C603" s="94"/>
      <c r="D603" s="552" t="s">
        <v>417</v>
      </c>
      <c r="E603" s="101">
        <v>50</v>
      </c>
      <c r="F603" s="554" t="s">
        <v>64</v>
      </c>
      <c r="G603" s="578">
        <v>15000</v>
      </c>
      <c r="H603" s="92">
        <f t="shared" ref="H603:H610" si="15">E603*G603</f>
        <v>750000</v>
      </c>
    </row>
    <row r="604" spans="2:10">
      <c r="B604" s="249"/>
      <c r="C604" s="94"/>
      <c r="D604" s="552" t="s">
        <v>418</v>
      </c>
      <c r="E604" s="101">
        <v>50</v>
      </c>
      <c r="F604" s="554" t="s">
        <v>64</v>
      </c>
      <c r="G604" s="578">
        <v>10000</v>
      </c>
      <c r="H604" s="92">
        <f t="shared" si="15"/>
        <v>500000</v>
      </c>
    </row>
    <row r="605" spans="2:10">
      <c r="B605" s="249"/>
      <c r="C605" s="94"/>
      <c r="D605" s="555" t="s">
        <v>422</v>
      </c>
      <c r="E605" s="554">
        <v>50</v>
      </c>
      <c r="F605" s="554" t="s">
        <v>64</v>
      </c>
      <c r="G605" s="578">
        <v>25000</v>
      </c>
      <c r="H605" s="92">
        <f t="shared" si="15"/>
        <v>1250000</v>
      </c>
    </row>
    <row r="606" spans="2:10">
      <c r="B606" s="249"/>
      <c r="C606" s="94"/>
      <c r="D606" s="557" t="s">
        <v>425</v>
      </c>
      <c r="E606" s="554">
        <v>50</v>
      </c>
      <c r="F606" s="554" t="s">
        <v>64</v>
      </c>
      <c r="G606" s="578">
        <v>12500</v>
      </c>
      <c r="H606" s="92">
        <f t="shared" si="15"/>
        <v>625000</v>
      </c>
    </row>
    <row r="607" spans="2:10">
      <c r="B607" s="249"/>
      <c r="C607" s="94"/>
      <c r="D607" s="625" t="s">
        <v>979</v>
      </c>
      <c r="E607" s="554">
        <v>2</v>
      </c>
      <c r="F607" s="554" t="s">
        <v>64</v>
      </c>
      <c r="G607" s="578">
        <v>350000</v>
      </c>
      <c r="H607" s="92">
        <f t="shared" si="15"/>
        <v>700000</v>
      </c>
    </row>
    <row r="608" spans="2:10">
      <c r="B608" s="249"/>
      <c r="C608" s="94"/>
      <c r="D608" s="557" t="s">
        <v>512</v>
      </c>
      <c r="E608" s="554">
        <v>50</v>
      </c>
      <c r="F608" s="554" t="s">
        <v>64</v>
      </c>
      <c r="G608" s="578">
        <v>50000</v>
      </c>
      <c r="H608" s="92">
        <f t="shared" si="15"/>
        <v>2500000</v>
      </c>
    </row>
    <row r="609" spans="2:8">
      <c r="B609" s="249"/>
      <c r="C609" s="397"/>
      <c r="D609" s="579" t="s">
        <v>424</v>
      </c>
      <c r="E609" s="94">
        <v>1</v>
      </c>
      <c r="F609" s="554" t="s">
        <v>64</v>
      </c>
      <c r="G609" s="383">
        <v>100000</v>
      </c>
      <c r="H609" s="92">
        <f t="shared" si="15"/>
        <v>100000</v>
      </c>
    </row>
    <row r="610" spans="2:8">
      <c r="B610" s="249"/>
      <c r="C610" s="397"/>
      <c r="D610" s="579" t="s">
        <v>980</v>
      </c>
      <c r="E610" s="94">
        <v>50</v>
      </c>
      <c r="F610" s="554" t="s">
        <v>64</v>
      </c>
      <c r="G610" s="383">
        <v>200000</v>
      </c>
      <c r="H610" s="92">
        <f t="shared" si="15"/>
        <v>10000000</v>
      </c>
    </row>
    <row r="611" spans="2:8">
      <c r="B611" s="249"/>
      <c r="C611" s="580">
        <v>3</v>
      </c>
      <c r="D611" s="387" t="s">
        <v>32</v>
      </c>
      <c r="E611" s="581"/>
      <c r="F611" s="551"/>
      <c r="G611" s="383"/>
      <c r="H611" s="265">
        <f>SUM(H612)</f>
        <v>0</v>
      </c>
    </row>
    <row r="612" spans="2:8">
      <c r="B612" s="249"/>
      <c r="C612" s="397"/>
      <c r="D612" s="579"/>
      <c r="E612" s="581"/>
      <c r="F612" s="551"/>
      <c r="G612" s="383"/>
      <c r="H612" s="265"/>
    </row>
    <row r="613" spans="2:8">
      <c r="B613" s="249"/>
      <c r="C613" s="101"/>
      <c r="D613" s="580" t="s">
        <v>221</v>
      </c>
      <c r="E613" s="546"/>
      <c r="F613" s="546"/>
      <c r="G613" s="383"/>
      <c r="H613" s="265">
        <f>H597</f>
        <v>17657000</v>
      </c>
    </row>
    <row r="614" spans="2:8" ht="12" customHeight="1">
      <c r="B614" s="249"/>
      <c r="C614" s="543"/>
      <c r="D614" s="249"/>
      <c r="E614" s="548"/>
      <c r="F614" s="962" t="s">
        <v>982</v>
      </c>
      <c r="G614" s="962"/>
      <c r="H614" s="962"/>
    </row>
    <row r="615" spans="2:8">
      <c r="B615" s="249"/>
      <c r="C615" s="543"/>
      <c r="D615" s="543"/>
      <c r="E615" s="548"/>
      <c r="F615" s="548"/>
      <c r="G615" s="249"/>
      <c r="H615" s="249"/>
    </row>
    <row r="616" spans="2:8" ht="12" customHeight="1">
      <c r="B616" s="249"/>
      <c r="C616" s="249"/>
      <c r="D616" s="78" t="s">
        <v>76</v>
      </c>
      <c r="E616" s="548"/>
      <c r="F616" s="810" t="s">
        <v>77</v>
      </c>
      <c r="G616" s="810"/>
      <c r="H616" s="810"/>
    </row>
    <row r="617" spans="2:8">
      <c r="B617" s="249"/>
      <c r="C617" s="249"/>
      <c r="D617" s="543" t="s">
        <v>78</v>
      </c>
      <c r="E617" s="548"/>
      <c r="F617" s="548"/>
      <c r="G617" s="582"/>
      <c r="H617" s="249"/>
    </row>
    <row r="618" spans="2:8">
      <c r="B618" s="249"/>
      <c r="C618" s="543"/>
      <c r="D618" s="543"/>
      <c r="E618" s="548"/>
      <c r="F618" s="548"/>
      <c r="G618" s="249"/>
      <c r="H618" s="249"/>
    </row>
    <row r="619" spans="2:8">
      <c r="B619" s="249"/>
      <c r="C619" s="543"/>
      <c r="D619" s="543"/>
      <c r="E619" s="548"/>
      <c r="F619" s="548"/>
      <c r="G619" s="249"/>
      <c r="H619" s="249"/>
    </row>
    <row r="620" spans="2:8">
      <c r="B620" s="249"/>
      <c r="C620" s="543"/>
      <c r="D620" s="543"/>
      <c r="E620" s="548"/>
      <c r="F620" s="548"/>
      <c r="G620" s="249"/>
      <c r="H620" s="249"/>
    </row>
    <row r="621" spans="2:8" ht="12" customHeight="1">
      <c r="B621" s="249"/>
      <c r="C621" s="543"/>
      <c r="D621" s="78" t="s">
        <v>51</v>
      </c>
      <c r="E621" s="548"/>
      <c r="F621" s="810" t="s">
        <v>428</v>
      </c>
      <c r="G621" s="810"/>
      <c r="H621" s="810"/>
    </row>
    <row r="625" spans="2:9">
      <c r="B625" s="824" t="s">
        <v>54</v>
      </c>
      <c r="C625" s="824"/>
      <c r="D625" s="824"/>
      <c r="E625" s="824"/>
      <c r="F625" s="824"/>
      <c r="G625" s="824"/>
      <c r="H625" s="824"/>
    </row>
    <row r="626" spans="2:9">
      <c r="B626" s="824" t="s">
        <v>55</v>
      </c>
      <c r="C626" s="824"/>
      <c r="D626" s="824"/>
      <c r="E626" s="824"/>
      <c r="F626" s="824"/>
      <c r="G626" s="824"/>
      <c r="H626" s="824"/>
    </row>
    <row r="627" spans="2:9">
      <c r="B627" s="824" t="s">
        <v>914</v>
      </c>
      <c r="C627" s="824"/>
      <c r="D627" s="824"/>
      <c r="E627" s="824"/>
      <c r="F627" s="824"/>
      <c r="G627" s="824"/>
      <c r="H627" s="824"/>
    </row>
    <row r="628" spans="2:9">
      <c r="B628" s="249"/>
      <c r="C628" s="78"/>
      <c r="D628" s="249"/>
      <c r="E628" s="548"/>
      <c r="F628" s="548"/>
      <c r="G628" s="249"/>
      <c r="H628" s="249"/>
    </row>
    <row r="629" spans="2:9">
      <c r="B629" s="567">
        <v>1</v>
      </c>
      <c r="C629" s="954" t="s">
        <v>172</v>
      </c>
      <c r="D629" s="954"/>
      <c r="E629" s="250" t="s">
        <v>438</v>
      </c>
      <c r="H629" s="249"/>
    </row>
    <row r="630" spans="2:9" ht="30.75" customHeight="1">
      <c r="B630" s="78">
        <v>2</v>
      </c>
      <c r="C630" s="958" t="s">
        <v>173</v>
      </c>
      <c r="D630" s="958"/>
      <c r="E630" s="959" t="s">
        <v>922</v>
      </c>
      <c r="F630" s="959"/>
      <c r="G630" s="959"/>
      <c r="H630" s="959"/>
    </row>
    <row r="631" spans="2:9">
      <c r="B631" s="567">
        <v>3</v>
      </c>
      <c r="C631" s="954" t="s">
        <v>174</v>
      </c>
      <c r="D631" s="954"/>
      <c r="E631" s="250" t="s">
        <v>539</v>
      </c>
      <c r="H631" s="249"/>
    </row>
    <row r="632" spans="2:9">
      <c r="B632" s="567">
        <v>4</v>
      </c>
      <c r="C632" s="569" t="s">
        <v>183</v>
      </c>
      <c r="D632" s="569"/>
      <c r="E632" s="250" t="s">
        <v>213</v>
      </c>
      <c r="H632" s="249"/>
    </row>
    <row r="633" spans="2:9">
      <c r="B633" s="567">
        <v>5</v>
      </c>
      <c r="C633" s="569" t="s">
        <v>184</v>
      </c>
      <c r="D633" s="569"/>
      <c r="E633" s="250" t="s">
        <v>222</v>
      </c>
      <c r="F633" s="826">
        <f>H639</f>
        <v>19957000</v>
      </c>
      <c r="G633" s="826"/>
      <c r="H633" s="249"/>
    </row>
    <row r="634" spans="2:9">
      <c r="B634" s="567"/>
      <c r="C634" s="569" t="s">
        <v>194</v>
      </c>
      <c r="D634" s="569"/>
      <c r="H634" s="249"/>
    </row>
    <row r="635" spans="2:9" ht="24">
      <c r="B635" s="249"/>
      <c r="C635" s="920" t="s">
        <v>56</v>
      </c>
      <c r="D635" s="956" t="s">
        <v>0</v>
      </c>
      <c r="E635" s="828" t="s">
        <v>57</v>
      </c>
      <c r="F635" s="830"/>
      <c r="G635" s="570" t="s">
        <v>58</v>
      </c>
      <c r="H635" s="570" t="s">
        <v>59</v>
      </c>
      <c r="I635" s="636"/>
    </row>
    <row r="636" spans="2:9">
      <c r="B636" s="249"/>
      <c r="C636" s="921"/>
      <c r="D636" s="957"/>
      <c r="E636" s="831"/>
      <c r="F636" s="833"/>
      <c r="G636" s="571" t="s">
        <v>52</v>
      </c>
      <c r="H636" s="571" t="s">
        <v>52</v>
      </c>
    </row>
    <row r="637" spans="2:9">
      <c r="B637" s="249"/>
      <c r="C637" s="550">
        <v>1</v>
      </c>
      <c r="D637" s="553">
        <v>2</v>
      </c>
      <c r="E637" s="814">
        <v>3</v>
      </c>
      <c r="F637" s="815"/>
      <c r="G637" s="549">
        <v>4</v>
      </c>
      <c r="H637" s="571">
        <v>5</v>
      </c>
    </row>
    <row r="638" spans="2:9" ht="24">
      <c r="B638" s="249"/>
      <c r="C638" s="572" t="s">
        <v>463</v>
      </c>
      <c r="D638" s="583" t="str">
        <f>APBDes2017!G160</f>
        <v>Pembinaan dan Pengelolaan Pendidikan Keagamaan</v>
      </c>
      <c r="E638" s="560"/>
      <c r="F638" s="560"/>
      <c r="G638" s="244"/>
      <c r="H638" s="390"/>
    </row>
    <row r="639" spans="2:9">
      <c r="B639" s="249"/>
      <c r="C639" s="101"/>
      <c r="D639" s="583"/>
      <c r="E639" s="575" t="s">
        <v>218</v>
      </c>
      <c r="F639" s="575" t="s">
        <v>219</v>
      </c>
      <c r="G639" s="541"/>
      <c r="H639" s="576">
        <f>SUM(H640+H653)</f>
        <v>19957000</v>
      </c>
    </row>
    <row r="640" spans="2:9">
      <c r="B640" s="249"/>
      <c r="C640" s="91">
        <v>2</v>
      </c>
      <c r="D640" s="558" t="s">
        <v>34</v>
      </c>
      <c r="E640" s="952"/>
      <c r="F640" s="953"/>
      <c r="G640" s="577"/>
      <c r="H640" s="90">
        <f>SUM(H641:H652)</f>
        <v>19957000</v>
      </c>
    </row>
    <row r="641" spans="2:10">
      <c r="B641" s="249"/>
      <c r="C641" s="91"/>
      <c r="D641" s="557" t="s">
        <v>416</v>
      </c>
      <c r="E641" s="935">
        <v>1557000</v>
      </c>
      <c r="F641" s="937"/>
      <c r="G641" s="577"/>
      <c r="H641" s="90"/>
      <c r="J641" s="250">
        <f>H639*7.5%</f>
        <v>1496775</v>
      </c>
    </row>
    <row r="642" spans="2:10">
      <c r="B642" s="249"/>
      <c r="C642" s="91"/>
      <c r="D642" s="546" t="s">
        <v>207</v>
      </c>
      <c r="E642" s="101">
        <v>1</v>
      </c>
      <c r="F642" s="554" t="s">
        <v>64</v>
      </c>
      <c r="G642" s="89">
        <f>E641*25%</f>
        <v>389250</v>
      </c>
      <c r="H642" s="92">
        <f>E642*G642</f>
        <v>389250</v>
      </c>
    </row>
    <row r="643" spans="2:10">
      <c r="B643" s="249"/>
      <c r="C643" s="94"/>
      <c r="D643" s="546" t="s">
        <v>695</v>
      </c>
      <c r="E643" s="101">
        <v>1</v>
      </c>
      <c r="F643" s="554" t="s">
        <v>64</v>
      </c>
      <c r="G643" s="89">
        <f>E641*15%</f>
        <v>233550</v>
      </c>
      <c r="H643" s="92">
        <f>E643*G643</f>
        <v>233550</v>
      </c>
    </row>
    <row r="644" spans="2:10">
      <c r="B644" s="249"/>
      <c r="C644" s="94"/>
      <c r="D644" s="546" t="s">
        <v>70</v>
      </c>
      <c r="E644" s="101">
        <v>6</v>
      </c>
      <c r="F644" s="554" t="s">
        <v>64</v>
      </c>
      <c r="G644" s="89">
        <f>E641*60%/6</f>
        <v>155700</v>
      </c>
      <c r="H644" s="92">
        <f>E644*G644</f>
        <v>934200</v>
      </c>
    </row>
    <row r="645" spans="2:10">
      <c r="B645" s="249"/>
      <c r="C645" s="94"/>
      <c r="D645" s="552" t="s">
        <v>417</v>
      </c>
      <c r="E645" s="101">
        <v>16</v>
      </c>
      <c r="F645" s="554" t="s">
        <v>64</v>
      </c>
      <c r="G645" s="578">
        <v>15000</v>
      </c>
      <c r="H645" s="92">
        <f t="shared" ref="H645:H652" si="16">E645*G645</f>
        <v>240000</v>
      </c>
    </row>
    <row r="646" spans="2:10">
      <c r="B646" s="249"/>
      <c r="C646" s="94"/>
      <c r="D646" s="552" t="s">
        <v>418</v>
      </c>
      <c r="E646" s="101">
        <v>16</v>
      </c>
      <c r="F646" s="554" t="s">
        <v>64</v>
      </c>
      <c r="G646" s="578">
        <v>10000</v>
      </c>
      <c r="H646" s="92">
        <f t="shared" si="16"/>
        <v>160000</v>
      </c>
    </row>
    <row r="647" spans="2:10">
      <c r="B647" s="249"/>
      <c r="C647" s="94"/>
      <c r="D647" s="555" t="s">
        <v>422</v>
      </c>
      <c r="E647" s="554">
        <v>16</v>
      </c>
      <c r="F647" s="554" t="s">
        <v>64</v>
      </c>
      <c r="G647" s="578">
        <v>25000</v>
      </c>
      <c r="H647" s="92">
        <f t="shared" si="16"/>
        <v>400000</v>
      </c>
    </row>
    <row r="648" spans="2:10">
      <c r="B648" s="249"/>
      <c r="C648" s="94"/>
      <c r="D648" s="557" t="s">
        <v>425</v>
      </c>
      <c r="E648" s="554">
        <v>16</v>
      </c>
      <c r="F648" s="554" t="s">
        <v>64</v>
      </c>
      <c r="G648" s="578">
        <v>12500</v>
      </c>
      <c r="H648" s="92">
        <f t="shared" si="16"/>
        <v>200000</v>
      </c>
    </row>
    <row r="649" spans="2:10">
      <c r="B649" s="249"/>
      <c r="C649" s="94"/>
      <c r="D649" s="557" t="s">
        <v>513</v>
      </c>
      <c r="E649" s="554">
        <v>1</v>
      </c>
      <c r="F649" s="554" t="s">
        <v>64</v>
      </c>
      <c r="G649" s="578">
        <v>500000</v>
      </c>
      <c r="H649" s="92">
        <f t="shared" si="16"/>
        <v>500000</v>
      </c>
    </row>
    <row r="650" spans="2:10">
      <c r="B650" s="249"/>
      <c r="C650" s="94"/>
      <c r="D650" s="557" t="s">
        <v>511</v>
      </c>
      <c r="E650" s="554">
        <v>16</v>
      </c>
      <c r="F650" s="554" t="s">
        <v>64</v>
      </c>
      <c r="G650" s="578">
        <v>50000</v>
      </c>
      <c r="H650" s="92">
        <f t="shared" si="16"/>
        <v>800000</v>
      </c>
    </row>
    <row r="651" spans="2:10" ht="24">
      <c r="B651" s="249"/>
      <c r="C651" s="94"/>
      <c r="D651" s="596" t="s">
        <v>870</v>
      </c>
      <c r="E651" s="554">
        <v>4</v>
      </c>
      <c r="F651" s="554" t="s">
        <v>520</v>
      </c>
      <c r="G651" s="578">
        <v>4000000</v>
      </c>
      <c r="H651" s="92">
        <f t="shared" si="16"/>
        <v>16000000</v>
      </c>
    </row>
    <row r="652" spans="2:10">
      <c r="B652" s="249"/>
      <c r="C652" s="397"/>
      <c r="D652" s="579" t="s">
        <v>424</v>
      </c>
      <c r="E652" s="94">
        <v>1</v>
      </c>
      <c r="F652" s="554" t="s">
        <v>64</v>
      </c>
      <c r="G652" s="383">
        <v>100000</v>
      </c>
      <c r="H652" s="92">
        <f t="shared" si="16"/>
        <v>100000</v>
      </c>
    </row>
    <row r="653" spans="2:10">
      <c r="B653" s="249"/>
      <c r="C653" s="580">
        <v>3</v>
      </c>
      <c r="D653" s="387" t="s">
        <v>32</v>
      </c>
      <c r="E653" s="581"/>
      <c r="F653" s="551"/>
      <c r="G653" s="383"/>
      <c r="H653" s="265">
        <f>SUM(H654)</f>
        <v>0</v>
      </c>
    </row>
    <row r="654" spans="2:10">
      <c r="B654" s="249"/>
      <c r="C654" s="397"/>
      <c r="D654" s="579"/>
      <c r="E654" s="581"/>
      <c r="F654" s="551"/>
      <c r="G654" s="383"/>
      <c r="H654" s="265"/>
    </row>
    <row r="655" spans="2:10">
      <c r="B655" s="249"/>
      <c r="C655" s="101"/>
      <c r="D655" s="580" t="s">
        <v>221</v>
      </c>
      <c r="E655" s="546"/>
      <c r="F655" s="546"/>
      <c r="G655" s="383"/>
      <c r="H655" s="265">
        <f>H639</f>
        <v>19957000</v>
      </c>
    </row>
    <row r="656" spans="2:10" ht="12" customHeight="1">
      <c r="B656" s="249"/>
      <c r="C656" s="543"/>
      <c r="D656" s="249"/>
      <c r="E656" s="548"/>
      <c r="F656" s="962" t="s">
        <v>982</v>
      </c>
      <c r="G656" s="962"/>
      <c r="H656" s="962"/>
    </row>
    <row r="657" spans="2:8" ht="12" customHeight="1">
      <c r="B657" s="249"/>
      <c r="C657" s="249"/>
      <c r="D657" s="78" t="s">
        <v>76</v>
      </c>
      <c r="E657" s="548"/>
      <c r="F657" s="810" t="s">
        <v>77</v>
      </c>
      <c r="G657" s="810"/>
      <c r="H657" s="810"/>
    </row>
    <row r="658" spans="2:8">
      <c r="B658" s="249"/>
      <c r="C658" s="249"/>
      <c r="D658" s="543" t="s">
        <v>78</v>
      </c>
      <c r="E658" s="548"/>
      <c r="F658" s="548"/>
      <c r="G658" s="582"/>
      <c r="H658" s="249"/>
    </row>
    <row r="659" spans="2:8">
      <c r="B659" s="249"/>
      <c r="C659" s="543"/>
      <c r="D659" s="543"/>
      <c r="E659" s="548"/>
      <c r="F659" s="548"/>
      <c r="G659" s="249"/>
      <c r="H659" s="249"/>
    </row>
    <row r="660" spans="2:8">
      <c r="B660" s="249"/>
      <c r="C660" s="543"/>
      <c r="D660" s="543"/>
      <c r="E660" s="548"/>
      <c r="F660" s="548"/>
      <c r="G660" s="249"/>
      <c r="H660" s="249"/>
    </row>
    <row r="661" spans="2:8">
      <c r="B661" s="249"/>
      <c r="C661" s="543"/>
      <c r="D661" s="543"/>
      <c r="E661" s="548"/>
      <c r="F661" s="548"/>
      <c r="G661" s="249"/>
      <c r="H661" s="249"/>
    </row>
    <row r="662" spans="2:8" ht="12" customHeight="1">
      <c r="B662" s="249"/>
      <c r="C662" s="543"/>
      <c r="D662" s="78" t="s">
        <v>51</v>
      </c>
      <c r="E662" s="548"/>
      <c r="F662" s="810" t="s">
        <v>428</v>
      </c>
      <c r="G662" s="810"/>
      <c r="H662" s="810"/>
    </row>
    <row r="664" spans="2:8">
      <c r="B664" s="824" t="s">
        <v>54</v>
      </c>
      <c r="C664" s="824"/>
      <c r="D664" s="824"/>
      <c r="E664" s="824"/>
      <c r="F664" s="824"/>
      <c r="G664" s="824"/>
      <c r="H664" s="824"/>
    </row>
    <row r="665" spans="2:8">
      <c r="B665" s="824" t="s">
        <v>55</v>
      </c>
      <c r="C665" s="824"/>
      <c r="D665" s="824"/>
      <c r="E665" s="824"/>
      <c r="F665" s="824"/>
      <c r="G665" s="824"/>
      <c r="H665" s="824"/>
    </row>
    <row r="666" spans="2:8">
      <c r="B666" s="824" t="s">
        <v>914</v>
      </c>
      <c r="C666" s="824"/>
      <c r="D666" s="824"/>
      <c r="E666" s="824"/>
      <c r="F666" s="824"/>
      <c r="G666" s="824"/>
      <c r="H666" s="824"/>
    </row>
    <row r="667" spans="2:8">
      <c r="B667" s="249"/>
      <c r="C667" s="78"/>
      <c r="D667" s="249"/>
      <c r="E667" s="548"/>
      <c r="F667" s="548"/>
      <c r="G667" s="249"/>
      <c r="H667" s="249"/>
    </row>
    <row r="668" spans="2:8">
      <c r="B668" s="567">
        <v>1</v>
      </c>
      <c r="C668" s="954" t="s">
        <v>172</v>
      </c>
      <c r="D668" s="954"/>
      <c r="E668" s="250" t="s">
        <v>438</v>
      </c>
      <c r="H668" s="249"/>
    </row>
    <row r="669" spans="2:8" ht="47.25" customHeight="1">
      <c r="B669" s="78">
        <v>2</v>
      </c>
      <c r="C669" s="958" t="s">
        <v>173</v>
      </c>
      <c r="D669" s="958"/>
      <c r="E669" s="959" t="s">
        <v>931</v>
      </c>
      <c r="F669" s="959"/>
      <c r="G669" s="959"/>
      <c r="H669" s="959"/>
    </row>
    <row r="670" spans="2:8">
      <c r="B670" s="567">
        <v>3</v>
      </c>
      <c r="C670" s="954" t="s">
        <v>174</v>
      </c>
      <c r="D670" s="954"/>
      <c r="E670" s="250" t="s">
        <v>542</v>
      </c>
      <c r="H670" s="249"/>
    </row>
    <row r="671" spans="2:8">
      <c r="B671" s="567">
        <v>4</v>
      </c>
      <c r="C671" s="569" t="s">
        <v>183</v>
      </c>
      <c r="D671" s="569"/>
      <c r="E671" s="250" t="s">
        <v>213</v>
      </c>
      <c r="H671" s="249"/>
    </row>
    <row r="672" spans="2:8">
      <c r="B672" s="567">
        <v>5</v>
      </c>
      <c r="C672" s="569" t="s">
        <v>184</v>
      </c>
      <c r="D672" s="569"/>
      <c r="E672" s="250" t="s">
        <v>222</v>
      </c>
      <c r="F672" s="826">
        <f>H678</f>
        <v>3682000</v>
      </c>
      <c r="G672" s="826"/>
      <c r="H672" s="249"/>
    </row>
    <row r="673" spans="2:10">
      <c r="B673" s="567"/>
      <c r="C673" s="569" t="s">
        <v>194</v>
      </c>
      <c r="D673" s="569"/>
      <c r="H673" s="249"/>
    </row>
    <row r="674" spans="2:10" ht="24">
      <c r="B674" s="249"/>
      <c r="C674" s="920" t="s">
        <v>56</v>
      </c>
      <c r="D674" s="956" t="s">
        <v>0</v>
      </c>
      <c r="E674" s="828" t="s">
        <v>57</v>
      </c>
      <c r="F674" s="830"/>
      <c r="G674" s="570" t="s">
        <v>58</v>
      </c>
      <c r="H674" s="570" t="s">
        <v>59</v>
      </c>
      <c r="I674" s="636"/>
    </row>
    <row r="675" spans="2:10">
      <c r="B675" s="249"/>
      <c r="C675" s="921"/>
      <c r="D675" s="957"/>
      <c r="E675" s="831"/>
      <c r="F675" s="833"/>
      <c r="G675" s="571" t="s">
        <v>52</v>
      </c>
      <c r="H675" s="571" t="s">
        <v>52</v>
      </c>
    </row>
    <row r="676" spans="2:10">
      <c r="B676" s="249"/>
      <c r="C676" s="550">
        <v>1</v>
      </c>
      <c r="D676" s="553">
        <v>2</v>
      </c>
      <c r="E676" s="814">
        <v>3</v>
      </c>
      <c r="F676" s="815"/>
      <c r="G676" s="549">
        <v>4</v>
      </c>
      <c r="H676" s="571">
        <v>5</v>
      </c>
    </row>
    <row r="677" spans="2:10" ht="36">
      <c r="B677" s="249"/>
      <c r="C677" s="572" t="s">
        <v>464</v>
      </c>
      <c r="D677" s="583" t="s">
        <v>871</v>
      </c>
      <c r="E677" s="560"/>
      <c r="F677" s="560"/>
      <c r="G677" s="244"/>
      <c r="H677" s="390"/>
    </row>
    <row r="678" spans="2:10">
      <c r="B678" s="249"/>
      <c r="C678" s="101"/>
      <c r="D678" s="244"/>
      <c r="E678" s="575" t="s">
        <v>218</v>
      </c>
      <c r="F678" s="575" t="s">
        <v>219</v>
      </c>
      <c r="G678" s="541"/>
      <c r="H678" s="576">
        <f>SUM(H679+H691)</f>
        <v>3682000</v>
      </c>
    </row>
    <row r="679" spans="2:10">
      <c r="B679" s="249"/>
      <c r="C679" s="91">
        <v>2</v>
      </c>
      <c r="D679" s="558" t="s">
        <v>34</v>
      </c>
      <c r="E679" s="952"/>
      <c r="F679" s="953"/>
      <c r="G679" s="577"/>
      <c r="H679" s="90">
        <f>SUM(H681:H690)</f>
        <v>3682000</v>
      </c>
    </row>
    <row r="680" spans="2:10">
      <c r="B680" s="249"/>
      <c r="C680" s="91"/>
      <c r="D680" s="557" t="s">
        <v>416</v>
      </c>
      <c r="E680" s="935">
        <v>257000</v>
      </c>
      <c r="F680" s="937"/>
      <c r="G680" s="577"/>
      <c r="H680" s="90"/>
      <c r="J680" s="250">
        <f>H678*7.5%</f>
        <v>276150</v>
      </c>
    </row>
    <row r="681" spans="2:10">
      <c r="B681" s="249"/>
      <c r="C681" s="91"/>
      <c r="D681" s="546" t="s">
        <v>207</v>
      </c>
      <c r="E681" s="101">
        <v>1</v>
      </c>
      <c r="F681" s="554" t="s">
        <v>64</v>
      </c>
      <c r="G681" s="89">
        <f>E680*25%</f>
        <v>64250</v>
      </c>
      <c r="H681" s="92">
        <f>E681*G681</f>
        <v>64250</v>
      </c>
    </row>
    <row r="682" spans="2:10">
      <c r="B682" s="249"/>
      <c r="C682" s="94"/>
      <c r="D682" s="546" t="s">
        <v>695</v>
      </c>
      <c r="E682" s="101">
        <v>1</v>
      </c>
      <c r="F682" s="554" t="s">
        <v>64</v>
      </c>
      <c r="G682" s="89">
        <f>E680*15%</f>
        <v>38550</v>
      </c>
      <c r="H682" s="92">
        <f>E682*G682</f>
        <v>38550</v>
      </c>
    </row>
    <row r="683" spans="2:10">
      <c r="B683" s="249"/>
      <c r="C683" s="94"/>
      <c r="D683" s="546" t="s">
        <v>70</v>
      </c>
      <c r="E683" s="101">
        <v>6</v>
      </c>
      <c r="F683" s="554" t="s">
        <v>64</v>
      </c>
      <c r="G683" s="89">
        <f>E680*60%/6</f>
        <v>25700</v>
      </c>
      <c r="H683" s="92">
        <f>E683*G683</f>
        <v>154200</v>
      </c>
    </row>
    <row r="684" spans="2:10">
      <c r="B684" s="249"/>
      <c r="C684" s="94"/>
      <c r="D684" s="552" t="s">
        <v>417</v>
      </c>
      <c r="E684" s="101">
        <v>20</v>
      </c>
      <c r="F684" s="554" t="s">
        <v>64</v>
      </c>
      <c r="G684" s="578">
        <v>15000</v>
      </c>
      <c r="H684" s="92">
        <f t="shared" ref="H684:H690" si="17">E684*G684</f>
        <v>300000</v>
      </c>
    </row>
    <row r="685" spans="2:10">
      <c r="B685" s="249"/>
      <c r="C685" s="94"/>
      <c r="D685" s="552" t="s">
        <v>418</v>
      </c>
      <c r="E685" s="101">
        <v>20</v>
      </c>
      <c r="F685" s="554" t="s">
        <v>64</v>
      </c>
      <c r="G685" s="578">
        <v>10000</v>
      </c>
      <c r="H685" s="92">
        <f t="shared" si="17"/>
        <v>200000</v>
      </c>
    </row>
    <row r="686" spans="2:10">
      <c r="B686" s="249"/>
      <c r="C686" s="94"/>
      <c r="D686" s="555" t="s">
        <v>422</v>
      </c>
      <c r="E686" s="554">
        <v>30</v>
      </c>
      <c r="F686" s="554" t="s">
        <v>64</v>
      </c>
      <c r="G686" s="578">
        <v>25000</v>
      </c>
      <c r="H686" s="92">
        <f t="shared" si="17"/>
        <v>750000</v>
      </c>
    </row>
    <row r="687" spans="2:10">
      <c r="B687" s="249"/>
      <c r="C687" s="94"/>
      <c r="D687" s="557" t="s">
        <v>425</v>
      </c>
      <c r="E687" s="554">
        <v>30</v>
      </c>
      <c r="F687" s="554" t="s">
        <v>64</v>
      </c>
      <c r="G687" s="578">
        <v>12500</v>
      </c>
      <c r="H687" s="92">
        <f t="shared" si="17"/>
        <v>375000</v>
      </c>
    </row>
    <row r="688" spans="2:10">
      <c r="B688" s="249"/>
      <c r="C688" s="94"/>
      <c r="D688" s="557" t="s">
        <v>513</v>
      </c>
      <c r="E688" s="554">
        <v>2</v>
      </c>
      <c r="F688" s="554" t="s">
        <v>64</v>
      </c>
      <c r="G688" s="578">
        <v>350000</v>
      </c>
      <c r="H688" s="92">
        <f t="shared" si="17"/>
        <v>700000</v>
      </c>
    </row>
    <row r="689" spans="2:8">
      <c r="B689" s="249"/>
      <c r="C689" s="94"/>
      <c r="D689" s="557" t="s">
        <v>512</v>
      </c>
      <c r="E689" s="554">
        <v>20</v>
      </c>
      <c r="F689" s="554" t="s">
        <v>64</v>
      </c>
      <c r="G689" s="578">
        <v>50000</v>
      </c>
      <c r="H689" s="92">
        <f t="shared" si="17"/>
        <v>1000000</v>
      </c>
    </row>
    <row r="690" spans="2:8">
      <c r="B690" s="249"/>
      <c r="C690" s="397"/>
      <c r="D690" s="579" t="s">
        <v>424</v>
      </c>
      <c r="E690" s="94">
        <v>1</v>
      </c>
      <c r="F690" s="554" t="s">
        <v>64</v>
      </c>
      <c r="G690" s="383">
        <v>100000</v>
      </c>
      <c r="H690" s="92">
        <f t="shared" si="17"/>
        <v>100000</v>
      </c>
    </row>
    <row r="691" spans="2:8">
      <c r="B691" s="249"/>
      <c r="C691" s="580">
        <v>3</v>
      </c>
      <c r="D691" s="387" t="s">
        <v>32</v>
      </c>
      <c r="E691" s="581"/>
      <c r="F691" s="551"/>
      <c r="G691" s="383"/>
      <c r="H691" s="265">
        <f>SUM(H692)</f>
        <v>0</v>
      </c>
    </row>
    <row r="692" spans="2:8">
      <c r="B692" s="249"/>
      <c r="C692" s="397"/>
      <c r="D692" s="579"/>
      <c r="E692" s="581"/>
      <c r="F692" s="551"/>
      <c r="G692" s="383"/>
      <c r="H692" s="265"/>
    </row>
    <row r="693" spans="2:8">
      <c r="B693" s="249"/>
      <c r="C693" s="101"/>
      <c r="D693" s="580" t="s">
        <v>221</v>
      </c>
      <c r="E693" s="546"/>
      <c r="F693" s="546"/>
      <c r="G693" s="383"/>
      <c r="H693" s="265">
        <f>H678</f>
        <v>3682000</v>
      </c>
    </row>
    <row r="694" spans="2:8" ht="12" customHeight="1">
      <c r="B694" s="249"/>
      <c r="C694" s="543"/>
      <c r="D694" s="249"/>
      <c r="E694" s="548"/>
      <c r="F694" s="962" t="s">
        <v>982</v>
      </c>
      <c r="G694" s="962"/>
      <c r="H694" s="962"/>
    </row>
    <row r="695" spans="2:8">
      <c r="B695" s="249"/>
      <c r="C695" s="543"/>
      <c r="D695" s="543"/>
      <c r="E695" s="548"/>
      <c r="F695" s="548"/>
      <c r="G695" s="249"/>
      <c r="H695" s="249"/>
    </row>
    <row r="696" spans="2:8" ht="12" customHeight="1">
      <c r="B696" s="249"/>
      <c r="C696" s="249"/>
      <c r="D696" s="78" t="s">
        <v>76</v>
      </c>
      <c r="E696" s="548"/>
      <c r="F696" s="810" t="s">
        <v>77</v>
      </c>
      <c r="G696" s="810"/>
      <c r="H696" s="810"/>
    </row>
    <row r="697" spans="2:8">
      <c r="B697" s="249"/>
      <c r="C697" s="249"/>
      <c r="D697" s="543" t="s">
        <v>78</v>
      </c>
      <c r="E697" s="548"/>
      <c r="F697" s="548"/>
      <c r="G697" s="582"/>
      <c r="H697" s="249"/>
    </row>
    <row r="698" spans="2:8">
      <c r="B698" s="249"/>
      <c r="C698" s="543"/>
      <c r="D698" s="543"/>
      <c r="E698" s="548"/>
      <c r="F698" s="548"/>
      <c r="G698" s="249"/>
      <c r="H698" s="249"/>
    </row>
    <row r="699" spans="2:8">
      <c r="B699" s="249"/>
      <c r="C699" s="543"/>
      <c r="D699" s="543"/>
      <c r="E699" s="548"/>
      <c r="F699" s="548"/>
      <c r="G699" s="249"/>
      <c r="H699" s="249"/>
    </row>
    <row r="700" spans="2:8">
      <c r="B700" s="249"/>
      <c r="C700" s="543"/>
      <c r="D700" s="543"/>
      <c r="E700" s="548"/>
      <c r="F700" s="548"/>
      <c r="G700" s="249"/>
      <c r="H700" s="249"/>
    </row>
    <row r="701" spans="2:8" ht="12" customHeight="1">
      <c r="B701" s="249"/>
      <c r="C701" s="543"/>
      <c r="D701" s="78" t="s">
        <v>51</v>
      </c>
      <c r="E701" s="548"/>
      <c r="F701" s="810" t="s">
        <v>428</v>
      </c>
      <c r="G701" s="810"/>
      <c r="H701" s="810"/>
    </row>
    <row r="704" spans="2:8">
      <c r="B704" s="824" t="s">
        <v>54</v>
      </c>
      <c r="C704" s="824"/>
      <c r="D704" s="824"/>
      <c r="E704" s="824"/>
      <c r="F704" s="824"/>
      <c r="G704" s="824"/>
      <c r="H704" s="824"/>
    </row>
    <row r="705" spans="2:9">
      <c r="B705" s="824" t="s">
        <v>55</v>
      </c>
      <c r="C705" s="824"/>
      <c r="D705" s="824"/>
      <c r="E705" s="824"/>
      <c r="F705" s="824"/>
      <c r="G705" s="824"/>
      <c r="H705" s="824"/>
    </row>
    <row r="706" spans="2:9">
      <c r="B706" s="824" t="s">
        <v>914</v>
      </c>
      <c r="C706" s="824"/>
      <c r="D706" s="824"/>
      <c r="E706" s="824"/>
      <c r="F706" s="824"/>
      <c r="G706" s="824"/>
      <c r="H706" s="824"/>
    </row>
    <row r="707" spans="2:9">
      <c r="B707" s="249"/>
      <c r="C707" s="78"/>
      <c r="D707" s="249"/>
      <c r="E707" s="548"/>
      <c r="F707" s="548"/>
      <c r="G707" s="249"/>
      <c r="H707" s="249"/>
    </row>
    <row r="708" spans="2:9">
      <c r="B708" s="567">
        <v>1</v>
      </c>
      <c r="C708" s="954" t="s">
        <v>172</v>
      </c>
      <c r="D708" s="954"/>
      <c r="E708" s="250" t="s">
        <v>438</v>
      </c>
      <c r="H708" s="249"/>
    </row>
    <row r="709" spans="2:9" ht="35.25" customHeight="1">
      <c r="B709" s="78">
        <v>2</v>
      </c>
      <c r="C709" s="958" t="s">
        <v>173</v>
      </c>
      <c r="D709" s="958"/>
      <c r="E709" s="959" t="s">
        <v>932</v>
      </c>
      <c r="F709" s="959"/>
      <c r="G709" s="959"/>
      <c r="H709" s="959"/>
    </row>
    <row r="710" spans="2:9">
      <c r="B710" s="567">
        <v>3</v>
      </c>
      <c r="C710" s="954" t="s">
        <v>174</v>
      </c>
      <c r="D710" s="954"/>
      <c r="E710" s="250" t="s">
        <v>533</v>
      </c>
      <c r="H710" s="249"/>
    </row>
    <row r="711" spans="2:9">
      <c r="B711" s="567">
        <v>4</v>
      </c>
      <c r="C711" s="569" t="s">
        <v>183</v>
      </c>
      <c r="D711" s="569"/>
      <c r="E711" s="250" t="s">
        <v>213</v>
      </c>
      <c r="H711" s="249"/>
    </row>
    <row r="712" spans="2:9">
      <c r="B712" s="567">
        <v>5</v>
      </c>
      <c r="C712" s="569" t="s">
        <v>184</v>
      </c>
      <c r="D712" s="569"/>
      <c r="E712" s="250" t="s">
        <v>222</v>
      </c>
      <c r="F712" s="826">
        <f>H718</f>
        <v>7767000</v>
      </c>
      <c r="G712" s="826"/>
      <c r="H712" s="249"/>
    </row>
    <row r="713" spans="2:9">
      <c r="B713" s="567"/>
      <c r="C713" s="569" t="s">
        <v>194</v>
      </c>
      <c r="D713" s="569"/>
      <c r="H713" s="249"/>
    </row>
    <row r="714" spans="2:9" ht="24">
      <c r="B714" s="249"/>
      <c r="C714" s="920" t="s">
        <v>56</v>
      </c>
      <c r="D714" s="960" t="s">
        <v>0</v>
      </c>
      <c r="E714" s="828" t="s">
        <v>57</v>
      </c>
      <c r="F714" s="830"/>
      <c r="G714" s="570" t="s">
        <v>58</v>
      </c>
      <c r="H714" s="570" t="s">
        <v>59</v>
      </c>
      <c r="I714" s="636"/>
    </row>
    <row r="715" spans="2:9">
      <c r="B715" s="249"/>
      <c r="C715" s="921"/>
      <c r="D715" s="961"/>
      <c r="E715" s="831"/>
      <c r="F715" s="833"/>
      <c r="G715" s="571" t="s">
        <v>52</v>
      </c>
      <c r="H715" s="571" t="s">
        <v>52</v>
      </c>
    </row>
    <row r="716" spans="2:9">
      <c r="B716" s="249"/>
      <c r="C716" s="550">
        <v>1</v>
      </c>
      <c r="D716" s="553">
        <v>2</v>
      </c>
      <c r="E716" s="814">
        <v>3</v>
      </c>
      <c r="F716" s="815"/>
      <c r="G716" s="549">
        <v>4</v>
      </c>
      <c r="H716" s="571">
        <v>5</v>
      </c>
    </row>
    <row r="717" spans="2:9" ht="24">
      <c r="B717" s="249"/>
      <c r="C717" s="572" t="s">
        <v>872</v>
      </c>
      <c r="D717" s="583" t="s">
        <v>873</v>
      </c>
      <c r="E717" s="560"/>
      <c r="F717" s="560"/>
      <c r="G717" s="244"/>
      <c r="H717" s="390"/>
    </row>
    <row r="718" spans="2:9">
      <c r="B718" s="249"/>
      <c r="C718" s="101"/>
      <c r="D718" s="583"/>
      <c r="E718" s="575" t="s">
        <v>218</v>
      </c>
      <c r="F718" s="575" t="s">
        <v>219</v>
      </c>
      <c r="G718" s="541"/>
      <c r="H718" s="576">
        <f>SUM(H719+H731)</f>
        <v>7767000</v>
      </c>
    </row>
    <row r="719" spans="2:9">
      <c r="B719" s="249"/>
      <c r="C719" s="91">
        <v>2</v>
      </c>
      <c r="D719" s="558" t="s">
        <v>34</v>
      </c>
      <c r="E719" s="952"/>
      <c r="F719" s="953"/>
      <c r="G719" s="577"/>
      <c r="H719" s="90">
        <f>SUM(H721:H730)</f>
        <v>5517000</v>
      </c>
    </row>
    <row r="720" spans="2:9">
      <c r="B720" s="249"/>
      <c r="C720" s="91"/>
      <c r="D720" s="557" t="s">
        <v>416</v>
      </c>
      <c r="E720" s="935">
        <v>542000</v>
      </c>
      <c r="F720" s="937"/>
      <c r="G720" s="577"/>
      <c r="H720" s="90"/>
      <c r="I720" s="400">
        <f>H718*7.5%</f>
        <v>582525</v>
      </c>
    </row>
    <row r="721" spans="2:9">
      <c r="B721" s="249"/>
      <c r="C721" s="91"/>
      <c r="D721" s="546" t="s">
        <v>207</v>
      </c>
      <c r="E721" s="101">
        <v>1</v>
      </c>
      <c r="F721" s="554" t="s">
        <v>64</v>
      </c>
      <c r="G721" s="89">
        <f>E720*25%</f>
        <v>135500</v>
      </c>
      <c r="H721" s="92">
        <f>E721*G721</f>
        <v>135500</v>
      </c>
    </row>
    <row r="722" spans="2:9">
      <c r="B722" s="249"/>
      <c r="C722" s="94"/>
      <c r="D722" s="546" t="s">
        <v>695</v>
      </c>
      <c r="E722" s="101">
        <v>1</v>
      </c>
      <c r="F722" s="554" t="s">
        <v>64</v>
      </c>
      <c r="G722" s="89">
        <f>E720*15%</f>
        <v>81300</v>
      </c>
      <c r="H722" s="92">
        <f>E722*G722</f>
        <v>81300</v>
      </c>
    </row>
    <row r="723" spans="2:9">
      <c r="B723" s="249"/>
      <c r="C723" s="94"/>
      <c r="D723" s="546" t="s">
        <v>70</v>
      </c>
      <c r="E723" s="101">
        <v>6</v>
      </c>
      <c r="F723" s="554" t="s">
        <v>64</v>
      </c>
      <c r="G723" s="89">
        <f>E720*60%/6</f>
        <v>54200</v>
      </c>
      <c r="H723" s="92">
        <f>E723*G723</f>
        <v>325200</v>
      </c>
    </row>
    <row r="724" spans="2:9">
      <c r="B724" s="249"/>
      <c r="C724" s="94"/>
      <c r="D724" s="552" t="s">
        <v>417</v>
      </c>
      <c r="E724" s="101">
        <v>30</v>
      </c>
      <c r="F724" s="554" t="s">
        <v>64</v>
      </c>
      <c r="G724" s="578">
        <v>15000</v>
      </c>
      <c r="H724" s="92">
        <f t="shared" ref="H724:H730" si="18">E724*G724</f>
        <v>450000</v>
      </c>
    </row>
    <row r="725" spans="2:9">
      <c r="B725" s="249"/>
      <c r="C725" s="94"/>
      <c r="D725" s="552" t="s">
        <v>418</v>
      </c>
      <c r="E725" s="101">
        <v>30</v>
      </c>
      <c r="F725" s="554" t="s">
        <v>64</v>
      </c>
      <c r="G725" s="578">
        <v>10000</v>
      </c>
      <c r="H725" s="92">
        <f t="shared" si="18"/>
        <v>300000</v>
      </c>
    </row>
    <row r="726" spans="2:9">
      <c r="B726" s="249"/>
      <c r="C726" s="94"/>
      <c r="D726" s="555" t="s">
        <v>422</v>
      </c>
      <c r="E726" s="554">
        <v>30</v>
      </c>
      <c r="F726" s="554" t="s">
        <v>64</v>
      </c>
      <c r="G726" s="578">
        <v>25000</v>
      </c>
      <c r="H726" s="92">
        <f t="shared" si="18"/>
        <v>750000</v>
      </c>
    </row>
    <row r="727" spans="2:9">
      <c r="B727" s="249"/>
      <c r="C727" s="94"/>
      <c r="D727" s="557" t="s">
        <v>425</v>
      </c>
      <c r="E727" s="554">
        <v>30</v>
      </c>
      <c r="F727" s="554" t="s">
        <v>64</v>
      </c>
      <c r="G727" s="578">
        <v>12500</v>
      </c>
      <c r="H727" s="92">
        <f t="shared" si="18"/>
        <v>375000</v>
      </c>
    </row>
    <row r="728" spans="2:9">
      <c r="B728" s="249"/>
      <c r="C728" s="94"/>
      <c r="D728" s="557" t="s">
        <v>513</v>
      </c>
      <c r="E728" s="554">
        <v>3</v>
      </c>
      <c r="F728" s="554" t="s">
        <v>64</v>
      </c>
      <c r="G728" s="578">
        <v>500000</v>
      </c>
      <c r="H728" s="92">
        <f t="shared" si="18"/>
        <v>1500000</v>
      </c>
    </row>
    <row r="729" spans="2:9">
      <c r="B729" s="249"/>
      <c r="C729" s="94"/>
      <c r="D729" s="557" t="s">
        <v>512</v>
      </c>
      <c r="E729" s="554">
        <v>30</v>
      </c>
      <c r="F729" s="554" t="s">
        <v>64</v>
      </c>
      <c r="G729" s="578">
        <v>50000</v>
      </c>
      <c r="H729" s="92">
        <f t="shared" si="18"/>
        <v>1500000</v>
      </c>
    </row>
    <row r="730" spans="2:9">
      <c r="B730" s="249"/>
      <c r="C730" s="397"/>
      <c r="D730" s="579" t="s">
        <v>424</v>
      </c>
      <c r="E730" s="94">
        <v>1</v>
      </c>
      <c r="F730" s="554" t="s">
        <v>64</v>
      </c>
      <c r="G730" s="383">
        <v>100000</v>
      </c>
      <c r="H730" s="92">
        <f t="shared" si="18"/>
        <v>100000</v>
      </c>
    </row>
    <row r="731" spans="2:9">
      <c r="B731" s="249"/>
      <c r="C731" s="580">
        <v>3</v>
      </c>
      <c r="D731" s="387" t="s">
        <v>32</v>
      </c>
      <c r="E731" s="581"/>
      <c r="F731" s="551"/>
      <c r="G731" s="383"/>
      <c r="H731" s="265">
        <f>SUM(H732:H733)</f>
        <v>2250000</v>
      </c>
    </row>
    <row r="732" spans="2:9">
      <c r="B732" s="249"/>
      <c r="C732" s="580"/>
      <c r="D732" s="579" t="s">
        <v>874</v>
      </c>
      <c r="E732" s="94">
        <v>1</v>
      </c>
      <c r="F732" s="94" t="s">
        <v>250</v>
      </c>
      <c r="G732" s="383">
        <v>2000000</v>
      </c>
      <c r="H732" s="383">
        <f>SUM(E732*G732)</f>
        <v>2000000</v>
      </c>
    </row>
    <row r="733" spans="2:9">
      <c r="B733" s="249"/>
      <c r="C733" s="397"/>
      <c r="D733" s="579" t="s">
        <v>565</v>
      </c>
      <c r="E733" s="94">
        <v>1</v>
      </c>
      <c r="F733" s="94" t="s">
        <v>564</v>
      </c>
      <c r="G733" s="383">
        <v>250000</v>
      </c>
      <c r="H733" s="383">
        <f>SUM(E733*G733)</f>
        <v>250000</v>
      </c>
      <c r="I733" s="400" t="s">
        <v>23</v>
      </c>
    </row>
    <row r="734" spans="2:9">
      <c r="B734" s="249"/>
      <c r="C734" s="101"/>
      <c r="D734" s="580" t="s">
        <v>221</v>
      </c>
      <c r="E734" s="546"/>
      <c r="F734" s="546"/>
      <c r="G734" s="383"/>
      <c r="H734" s="265">
        <f>H718</f>
        <v>7767000</v>
      </c>
    </row>
    <row r="735" spans="2:9" ht="12" customHeight="1">
      <c r="B735" s="249"/>
      <c r="C735" s="543"/>
      <c r="D735" s="249"/>
      <c r="E735" s="548"/>
      <c r="F735" s="962" t="s">
        <v>982</v>
      </c>
      <c r="G735" s="962"/>
      <c r="H735" s="962"/>
    </row>
    <row r="736" spans="2:9">
      <c r="B736" s="249"/>
      <c r="C736" s="543"/>
      <c r="D736" s="543"/>
      <c r="E736" s="548"/>
      <c r="F736" s="548"/>
      <c r="G736" s="249"/>
      <c r="H736" s="249"/>
    </row>
    <row r="737" spans="1:10" ht="12" customHeight="1">
      <c r="B737" s="249"/>
      <c r="C737" s="249"/>
      <c r="D737" s="78" t="s">
        <v>76</v>
      </c>
      <c r="E737" s="548"/>
      <c r="F737" s="810" t="s">
        <v>77</v>
      </c>
      <c r="G737" s="810"/>
      <c r="H737" s="810"/>
    </row>
    <row r="738" spans="1:10">
      <c r="B738" s="249"/>
      <c r="C738" s="249"/>
      <c r="D738" s="543" t="s">
        <v>78</v>
      </c>
      <c r="E738" s="548"/>
      <c r="F738" s="548"/>
      <c r="G738" s="582"/>
      <c r="H738" s="249"/>
    </row>
    <row r="739" spans="1:10">
      <c r="B739" s="249"/>
      <c r="C739" s="543"/>
      <c r="D739" s="543"/>
      <c r="E739" s="548"/>
      <c r="F739" s="548"/>
      <c r="G739" s="249"/>
      <c r="H739" s="249"/>
    </row>
    <row r="740" spans="1:10">
      <c r="B740" s="249"/>
      <c r="C740" s="543"/>
      <c r="D740" s="543"/>
      <c r="E740" s="548"/>
      <c r="F740" s="548"/>
      <c r="G740" s="249"/>
      <c r="H740" s="249"/>
    </row>
    <row r="741" spans="1:10">
      <c r="B741" s="249"/>
      <c r="C741" s="543"/>
      <c r="D741" s="543"/>
      <c r="E741" s="548"/>
      <c r="F741" s="548"/>
      <c r="G741" s="249"/>
      <c r="H741" s="249"/>
    </row>
    <row r="742" spans="1:10" ht="12" customHeight="1">
      <c r="B742" s="249"/>
      <c r="C742" s="543"/>
      <c r="D742" s="78" t="s">
        <v>51</v>
      </c>
      <c r="E742" s="548"/>
      <c r="F742" s="810" t="s">
        <v>428</v>
      </c>
      <c r="G742" s="810"/>
      <c r="H742" s="810"/>
    </row>
    <row r="744" spans="1:10" ht="15">
      <c r="A744"/>
      <c r="B744"/>
      <c r="C744"/>
      <c r="D744"/>
      <c r="E744"/>
      <c r="F744"/>
      <c r="G744"/>
      <c r="H744"/>
      <c r="I744"/>
      <c r="J744"/>
    </row>
    <row r="745" spans="1:10" ht="15">
      <c r="A745"/>
      <c r="B745" s="824" t="s">
        <v>54</v>
      </c>
      <c r="C745" s="824"/>
      <c r="D745" s="824"/>
      <c r="E745" s="824"/>
      <c r="F745" s="824"/>
      <c r="G745" s="824"/>
      <c r="H745" s="824"/>
      <c r="I745"/>
      <c r="J745"/>
    </row>
    <row r="746" spans="1:10" ht="15">
      <c r="A746"/>
      <c r="B746" s="824" t="s">
        <v>55</v>
      </c>
      <c r="C746" s="824"/>
      <c r="D746" s="824"/>
      <c r="E746" s="824"/>
      <c r="F746" s="824"/>
      <c r="G746" s="824"/>
      <c r="H746" s="824"/>
      <c r="I746"/>
      <c r="J746"/>
    </row>
    <row r="747" spans="1:10" ht="15">
      <c r="A747"/>
      <c r="B747" s="824" t="s">
        <v>914</v>
      </c>
      <c r="C747" s="824"/>
      <c r="D747" s="824"/>
      <c r="E747" s="824"/>
      <c r="F747" s="824"/>
      <c r="G747" s="824"/>
      <c r="H747" s="824"/>
      <c r="I747"/>
      <c r="J747"/>
    </row>
    <row r="748" spans="1:10" ht="15">
      <c r="A748"/>
      <c r="B748" s="615"/>
      <c r="C748" s="78"/>
      <c r="D748" s="615"/>
      <c r="E748" s="608"/>
      <c r="F748" s="608"/>
      <c r="G748" s="615"/>
      <c r="H748" s="615"/>
      <c r="I748"/>
      <c r="J748"/>
    </row>
    <row r="749" spans="1:10" ht="15">
      <c r="A749"/>
      <c r="B749" s="567">
        <v>1</v>
      </c>
      <c r="C749" s="954" t="s">
        <v>172</v>
      </c>
      <c r="D749" s="954"/>
      <c r="E749" s="250" t="s">
        <v>438</v>
      </c>
      <c r="H749" s="615"/>
      <c r="I749"/>
      <c r="J749"/>
    </row>
    <row r="750" spans="1:10" ht="15">
      <c r="A750"/>
      <c r="B750" s="78">
        <v>2</v>
      </c>
      <c r="C750" s="958" t="s">
        <v>173</v>
      </c>
      <c r="D750" s="958"/>
      <c r="E750" s="959" t="s">
        <v>240</v>
      </c>
      <c r="F750" s="959"/>
      <c r="G750" s="959"/>
      <c r="H750" s="959"/>
      <c r="I750"/>
      <c r="J750"/>
    </row>
    <row r="751" spans="1:10" ht="15">
      <c r="A751"/>
      <c r="B751" s="567">
        <v>3</v>
      </c>
      <c r="C751" s="954" t="s">
        <v>174</v>
      </c>
      <c r="D751" s="954"/>
      <c r="E751" s="250" t="s">
        <v>533</v>
      </c>
      <c r="H751" s="615"/>
      <c r="I751"/>
      <c r="J751"/>
    </row>
    <row r="752" spans="1:10" ht="15">
      <c r="A752"/>
      <c r="B752" s="567">
        <v>4</v>
      </c>
      <c r="C752" s="612" t="s">
        <v>183</v>
      </c>
      <c r="D752" s="612"/>
      <c r="E752" s="250" t="s">
        <v>472</v>
      </c>
      <c r="H752" s="615"/>
      <c r="I752"/>
      <c r="J752"/>
    </row>
    <row r="753" spans="1:10" ht="15">
      <c r="A753"/>
      <c r="B753" s="567">
        <v>5</v>
      </c>
      <c r="C753" s="612" t="s">
        <v>184</v>
      </c>
      <c r="D753" s="612"/>
      <c r="E753" s="250" t="s">
        <v>222</v>
      </c>
      <c r="F753" s="826">
        <f>H758</f>
        <v>6289000</v>
      </c>
      <c r="G753" s="826"/>
      <c r="H753" s="615"/>
      <c r="I753"/>
      <c r="J753"/>
    </row>
    <row r="754" spans="1:10" ht="15">
      <c r="A754"/>
      <c r="B754" s="567"/>
      <c r="C754" s="612" t="s">
        <v>194</v>
      </c>
      <c r="D754" s="612"/>
      <c r="H754" s="615"/>
      <c r="I754"/>
      <c r="J754"/>
    </row>
    <row r="755" spans="1:10" ht="24">
      <c r="A755"/>
      <c r="B755" s="615"/>
      <c r="C755" s="827" t="s">
        <v>56</v>
      </c>
      <c r="D755" s="960" t="s">
        <v>0</v>
      </c>
      <c r="E755" s="828" t="s">
        <v>57</v>
      </c>
      <c r="F755" s="829"/>
      <c r="G755" s="613" t="s">
        <v>58</v>
      </c>
      <c r="H755" s="613" t="s">
        <v>59</v>
      </c>
      <c r="I755" s="637"/>
      <c r="J755"/>
    </row>
    <row r="756" spans="1:10" ht="15">
      <c r="A756"/>
      <c r="B756" s="615"/>
      <c r="C756" s="827"/>
      <c r="D756" s="961"/>
      <c r="E756" s="831"/>
      <c r="F756" s="832"/>
      <c r="G756" s="614" t="s">
        <v>52</v>
      </c>
      <c r="H756" s="614" t="s">
        <v>52</v>
      </c>
      <c r="I756"/>
      <c r="J756"/>
    </row>
    <row r="757" spans="1:10" ht="15">
      <c r="A757"/>
      <c r="B757" s="615"/>
      <c r="C757" s="604">
        <v>1</v>
      </c>
      <c r="D757" s="606">
        <v>2</v>
      </c>
      <c r="E757" s="814">
        <v>3</v>
      </c>
      <c r="F757" s="815"/>
      <c r="G757" s="605">
        <v>4</v>
      </c>
      <c r="H757" s="614">
        <v>5</v>
      </c>
      <c r="I757"/>
      <c r="J757"/>
    </row>
    <row r="758" spans="1:10" ht="24">
      <c r="A758"/>
      <c r="B758" s="615"/>
      <c r="C758" s="572" t="s">
        <v>946</v>
      </c>
      <c r="D758" s="583" t="s">
        <v>133</v>
      </c>
      <c r="E758" s="575" t="s">
        <v>218</v>
      </c>
      <c r="F758" s="575" t="s">
        <v>219</v>
      </c>
      <c r="G758" s="607"/>
      <c r="H758" s="576">
        <f>SUM(H759+H769)</f>
        <v>6289000</v>
      </c>
      <c r="I758"/>
      <c r="J758"/>
    </row>
    <row r="759" spans="1:10" ht="15">
      <c r="A759"/>
      <c r="B759" s="615"/>
      <c r="C759" s="91">
        <v>2</v>
      </c>
      <c r="D759" s="611" t="s">
        <v>34</v>
      </c>
      <c r="E759" s="952"/>
      <c r="F759" s="953"/>
      <c r="G759" s="577"/>
      <c r="H759" s="90">
        <f>SUM(H761:H768)</f>
        <v>6289000</v>
      </c>
      <c r="I759"/>
      <c r="J759"/>
    </row>
    <row r="760" spans="1:10" ht="15">
      <c r="A760"/>
      <c r="B760" s="615"/>
      <c r="C760" s="91"/>
      <c r="D760" s="609" t="s">
        <v>416</v>
      </c>
      <c r="E760" s="935">
        <v>439000</v>
      </c>
      <c r="F760" s="937"/>
      <c r="G760" s="577"/>
      <c r="H760" s="90"/>
      <c r="I760">
        <f>H758*7.5%</f>
        <v>471675</v>
      </c>
      <c r="J760"/>
    </row>
    <row r="761" spans="1:10" ht="15">
      <c r="A761"/>
      <c r="B761" s="615"/>
      <c r="C761" s="91"/>
      <c r="D761" s="603" t="s">
        <v>207</v>
      </c>
      <c r="E761" s="101">
        <v>1</v>
      </c>
      <c r="F761" s="610" t="s">
        <v>64</v>
      </c>
      <c r="G761" s="89">
        <f>E760*25%</f>
        <v>109750</v>
      </c>
      <c r="H761" s="92">
        <f>E761*G761</f>
        <v>109750</v>
      </c>
      <c r="I761"/>
      <c r="J761"/>
    </row>
    <row r="762" spans="1:10" ht="15">
      <c r="A762"/>
      <c r="B762" s="615"/>
      <c r="C762" s="94"/>
      <c r="D762" s="603" t="s">
        <v>695</v>
      </c>
      <c r="E762" s="101">
        <v>1</v>
      </c>
      <c r="F762" s="610" t="s">
        <v>64</v>
      </c>
      <c r="G762" s="89">
        <f>E760*15%</f>
        <v>65850</v>
      </c>
      <c r="H762" s="92">
        <f>E762*G762</f>
        <v>65850</v>
      </c>
      <c r="I762"/>
      <c r="J762"/>
    </row>
    <row r="763" spans="1:10" ht="15">
      <c r="A763"/>
      <c r="B763" s="615"/>
      <c r="C763" s="94"/>
      <c r="D763" s="603" t="s">
        <v>70</v>
      </c>
      <c r="E763" s="101">
        <v>6</v>
      </c>
      <c r="F763" s="610" t="s">
        <v>64</v>
      </c>
      <c r="G763" s="89">
        <f>E760*60%/6</f>
        <v>43900</v>
      </c>
      <c r="H763" s="92">
        <f>E763*G763</f>
        <v>263400</v>
      </c>
      <c r="I763"/>
      <c r="J763"/>
    </row>
    <row r="764" spans="1:10" ht="15">
      <c r="A764"/>
      <c r="B764" s="615"/>
      <c r="C764" s="94"/>
      <c r="D764" s="600" t="s">
        <v>418</v>
      </c>
      <c r="E764" s="101">
        <v>50</v>
      </c>
      <c r="F764" s="610" t="s">
        <v>64</v>
      </c>
      <c r="G764" s="578">
        <v>10000</v>
      </c>
      <c r="H764" s="92">
        <f t="shared" ref="H764:H768" si="19">E764*G764</f>
        <v>500000</v>
      </c>
      <c r="I764"/>
      <c r="J764"/>
    </row>
    <row r="765" spans="1:10" ht="14.25" customHeight="1">
      <c r="A765"/>
      <c r="B765" s="615"/>
      <c r="C765" s="94"/>
      <c r="D765" s="601" t="s">
        <v>422</v>
      </c>
      <c r="E765" s="610">
        <v>60</v>
      </c>
      <c r="F765" s="610" t="s">
        <v>64</v>
      </c>
      <c r="G765" s="578">
        <v>25000</v>
      </c>
      <c r="H765" s="92">
        <f t="shared" si="19"/>
        <v>1500000</v>
      </c>
      <c r="I765"/>
      <c r="J765"/>
    </row>
    <row r="766" spans="1:10" ht="14.25" customHeight="1">
      <c r="A766"/>
      <c r="B766" s="615"/>
      <c r="C766" s="94"/>
      <c r="D766" s="609" t="s">
        <v>425</v>
      </c>
      <c r="E766" s="610">
        <v>60</v>
      </c>
      <c r="F766" s="610" t="s">
        <v>64</v>
      </c>
      <c r="G766" s="578">
        <v>12500</v>
      </c>
      <c r="H766" s="92">
        <f t="shared" si="19"/>
        <v>750000</v>
      </c>
      <c r="I766"/>
      <c r="J766"/>
    </row>
    <row r="767" spans="1:10" ht="15">
      <c r="A767"/>
      <c r="B767" s="615"/>
      <c r="C767" s="94"/>
      <c r="D767" s="609" t="s">
        <v>512</v>
      </c>
      <c r="E767" s="610">
        <v>60</v>
      </c>
      <c r="F767" s="610" t="s">
        <v>64</v>
      </c>
      <c r="G767" s="578">
        <v>50000</v>
      </c>
      <c r="H767" s="92">
        <f t="shared" si="19"/>
        <v>3000000</v>
      </c>
      <c r="I767"/>
      <c r="J767"/>
    </row>
    <row r="768" spans="1:10" ht="15">
      <c r="A768"/>
      <c r="B768" s="615"/>
      <c r="C768" s="397"/>
      <c r="D768" s="579" t="s">
        <v>424</v>
      </c>
      <c r="E768" s="94">
        <v>1</v>
      </c>
      <c r="F768" s="610" t="s">
        <v>64</v>
      </c>
      <c r="G768" s="383">
        <v>100000</v>
      </c>
      <c r="H768" s="92">
        <f t="shared" si="19"/>
        <v>100000</v>
      </c>
      <c r="I768"/>
      <c r="J768"/>
    </row>
    <row r="769" spans="1:10" ht="15">
      <c r="A769"/>
      <c r="B769" s="615"/>
      <c r="C769" s="580">
        <v>3</v>
      </c>
      <c r="D769" s="387" t="s">
        <v>32</v>
      </c>
      <c r="E769" s="581"/>
      <c r="F769" s="602"/>
      <c r="G769" s="383"/>
      <c r="H769" s="265">
        <f>SUM(H770:H771)</f>
        <v>0</v>
      </c>
      <c r="I769"/>
      <c r="J769"/>
    </row>
    <row r="770" spans="1:10" ht="14.25" customHeight="1">
      <c r="A770"/>
      <c r="B770" s="615"/>
      <c r="C770" s="580"/>
      <c r="D770" s="579"/>
      <c r="E770" s="94"/>
      <c r="F770" s="94"/>
      <c r="G770" s="383"/>
      <c r="H770" s="383"/>
      <c r="I770"/>
      <c r="J770"/>
    </row>
    <row r="771" spans="1:10" ht="15">
      <c r="B771" s="615"/>
      <c r="C771" s="397"/>
      <c r="D771" s="579"/>
      <c r="E771" s="94"/>
      <c r="F771" s="94"/>
      <c r="G771" s="383"/>
      <c r="H771" s="383"/>
      <c r="I771"/>
    </row>
    <row r="772" spans="1:10" ht="15">
      <c r="B772" s="615"/>
      <c r="C772" s="101"/>
      <c r="D772" s="580" t="s">
        <v>221</v>
      </c>
      <c r="E772" s="603"/>
      <c r="F772" s="603"/>
      <c r="G772" s="383"/>
      <c r="H772" s="265">
        <f>H758</f>
        <v>6289000</v>
      </c>
      <c r="I772"/>
    </row>
    <row r="773" spans="1:10" ht="15">
      <c r="B773" s="615"/>
      <c r="C773" s="599"/>
      <c r="D773" s="615"/>
      <c r="E773" s="608"/>
      <c r="F773" s="810" t="s">
        <v>982</v>
      </c>
      <c r="G773" s="810"/>
      <c r="H773" s="810"/>
      <c r="I773"/>
    </row>
    <row r="774" spans="1:10" ht="15">
      <c r="B774" s="615"/>
      <c r="C774" s="599"/>
      <c r="D774" s="599"/>
      <c r="E774" s="608"/>
      <c r="F774" s="608"/>
      <c r="G774" s="615"/>
      <c r="H774" s="615"/>
      <c r="I774"/>
    </row>
    <row r="775" spans="1:10">
      <c r="B775" s="615"/>
      <c r="C775" s="615"/>
      <c r="D775" s="78" t="s">
        <v>76</v>
      </c>
      <c r="E775" s="608"/>
      <c r="F775" s="810" t="s">
        <v>77</v>
      </c>
      <c r="G775" s="810"/>
      <c r="H775" s="810"/>
    </row>
    <row r="776" spans="1:10">
      <c r="B776" s="615"/>
      <c r="C776" s="615"/>
      <c r="D776" s="599" t="s">
        <v>78</v>
      </c>
      <c r="E776" s="608"/>
      <c r="F776" s="608"/>
      <c r="G776" s="582"/>
      <c r="H776" s="615"/>
    </row>
    <row r="777" spans="1:10">
      <c r="B777" s="615"/>
      <c r="C777" s="599"/>
      <c r="D777" s="599"/>
      <c r="E777" s="608"/>
      <c r="F777" s="608"/>
      <c r="G777" s="615"/>
      <c r="H777" s="615"/>
    </row>
    <row r="778" spans="1:10">
      <c r="B778" s="615"/>
      <c r="C778" s="599"/>
      <c r="D778" s="599"/>
      <c r="E778" s="608"/>
      <c r="F778" s="608"/>
      <c r="G778" s="615"/>
      <c r="H778" s="615"/>
    </row>
    <row r="779" spans="1:10">
      <c r="B779" s="615"/>
      <c r="C779" s="599"/>
      <c r="D779" s="599"/>
      <c r="E779" s="608"/>
      <c r="F779" s="608"/>
      <c r="G779" s="615"/>
      <c r="H779" s="615"/>
    </row>
    <row r="780" spans="1:10">
      <c r="B780" s="615"/>
      <c r="C780" s="599"/>
      <c r="D780" s="78" t="s">
        <v>51</v>
      </c>
      <c r="E780" s="608"/>
      <c r="F780" s="810" t="s">
        <v>224</v>
      </c>
      <c r="G780" s="810"/>
      <c r="H780" s="810"/>
    </row>
  </sheetData>
  <mergeCells count="337">
    <mergeCell ref="E52:F52"/>
    <mergeCell ref="F58:H58"/>
    <mergeCell ref="F60:H60"/>
    <mergeCell ref="F65:H65"/>
    <mergeCell ref="B40:H40"/>
    <mergeCell ref="B41:H41"/>
    <mergeCell ref="B42:H42"/>
    <mergeCell ref="C44:D44"/>
    <mergeCell ref="C45:D45"/>
    <mergeCell ref="E45:H45"/>
    <mergeCell ref="C46:D46"/>
    <mergeCell ref="F48:G48"/>
    <mergeCell ref="C50:C51"/>
    <mergeCell ref="D50:D51"/>
    <mergeCell ref="E50:F51"/>
    <mergeCell ref="B666:H666"/>
    <mergeCell ref="B665:H665"/>
    <mergeCell ref="B664:H664"/>
    <mergeCell ref="D714:D715"/>
    <mergeCell ref="C714:C715"/>
    <mergeCell ref="F712:G712"/>
    <mergeCell ref="C710:D710"/>
    <mergeCell ref="E709:H709"/>
    <mergeCell ref="C709:D709"/>
    <mergeCell ref="C708:D708"/>
    <mergeCell ref="B706:H706"/>
    <mergeCell ref="B705:H705"/>
    <mergeCell ref="E396:F396"/>
    <mergeCell ref="F742:H742"/>
    <mergeCell ref="F737:H737"/>
    <mergeCell ref="F735:H735"/>
    <mergeCell ref="E720:F720"/>
    <mergeCell ref="E719:F719"/>
    <mergeCell ref="E716:F716"/>
    <mergeCell ref="E714:F715"/>
    <mergeCell ref="B704:H704"/>
    <mergeCell ref="F701:H701"/>
    <mergeCell ref="F696:H696"/>
    <mergeCell ref="F694:H694"/>
    <mergeCell ref="E680:F680"/>
    <mergeCell ref="E679:F679"/>
    <mergeCell ref="E676:F676"/>
    <mergeCell ref="E674:F675"/>
    <mergeCell ref="D674:D675"/>
    <mergeCell ref="C674:C675"/>
    <mergeCell ref="F672:G672"/>
    <mergeCell ref="C670:D670"/>
    <mergeCell ref="E669:H669"/>
    <mergeCell ref="C669:D669"/>
    <mergeCell ref="C668:D668"/>
    <mergeCell ref="B466:H466"/>
    <mergeCell ref="C193:C194"/>
    <mergeCell ref="D193:D194"/>
    <mergeCell ref="E193:F194"/>
    <mergeCell ref="E195:F195"/>
    <mergeCell ref="C389:D389"/>
    <mergeCell ref="E389:H389"/>
    <mergeCell ref="C390:D390"/>
    <mergeCell ref="C394:C395"/>
    <mergeCell ref="D394:D395"/>
    <mergeCell ref="E394:F395"/>
    <mergeCell ref="B266:H266"/>
    <mergeCell ref="B267:H267"/>
    <mergeCell ref="B268:H268"/>
    <mergeCell ref="C270:D270"/>
    <mergeCell ref="C271:D271"/>
    <mergeCell ref="E271:H271"/>
    <mergeCell ref="E236:F236"/>
    <mergeCell ref="E239:F239"/>
    <mergeCell ref="E240:F240"/>
    <mergeCell ref="F257:H257"/>
    <mergeCell ref="F258:H258"/>
    <mergeCell ref="F263:H263"/>
    <mergeCell ref="E281:F281"/>
    <mergeCell ref="E282:F282"/>
    <mergeCell ref="E160:F160"/>
    <mergeCell ref="F174:H174"/>
    <mergeCell ref="F176:H176"/>
    <mergeCell ref="F181:H181"/>
    <mergeCell ref="B183:H183"/>
    <mergeCell ref="B184:H184"/>
    <mergeCell ref="C154:C155"/>
    <mergeCell ref="D154:D155"/>
    <mergeCell ref="E154:F155"/>
    <mergeCell ref="E156:F156"/>
    <mergeCell ref="E159:F159"/>
    <mergeCell ref="F152:G152"/>
    <mergeCell ref="F191:G191"/>
    <mergeCell ref="F353:G353"/>
    <mergeCell ref="F392:G392"/>
    <mergeCell ref="E198:F198"/>
    <mergeCell ref="E199:F199"/>
    <mergeCell ref="B185:H185"/>
    <mergeCell ref="C187:D187"/>
    <mergeCell ref="C188:D188"/>
    <mergeCell ref="E188:H188"/>
    <mergeCell ref="C189:D189"/>
    <mergeCell ref="C228:D228"/>
    <mergeCell ref="C229:D229"/>
    <mergeCell ref="E229:H229"/>
    <mergeCell ref="C230:D230"/>
    <mergeCell ref="C234:C235"/>
    <mergeCell ref="D234:D235"/>
    <mergeCell ref="E234:F235"/>
    <mergeCell ref="F215:H215"/>
    <mergeCell ref="F217:H217"/>
    <mergeCell ref="F222:H222"/>
    <mergeCell ref="B224:H224"/>
    <mergeCell ref="B225:H225"/>
    <mergeCell ref="B226:H226"/>
    <mergeCell ref="F38:H38"/>
    <mergeCell ref="B68:H68"/>
    <mergeCell ref="B69:H69"/>
    <mergeCell ref="E118:F118"/>
    <mergeCell ref="B106:H106"/>
    <mergeCell ref="B107:H107"/>
    <mergeCell ref="B108:H108"/>
    <mergeCell ref="C110:D110"/>
    <mergeCell ref="C111:D111"/>
    <mergeCell ref="E111:H111"/>
    <mergeCell ref="F114:G114"/>
    <mergeCell ref="E80:F80"/>
    <mergeCell ref="E83:F83"/>
    <mergeCell ref="E84:F84"/>
    <mergeCell ref="F98:H98"/>
    <mergeCell ref="F100:H100"/>
    <mergeCell ref="F105:H105"/>
    <mergeCell ref="C112:D112"/>
    <mergeCell ref="C116:C117"/>
    <mergeCell ref="D116:D117"/>
    <mergeCell ref="E116:F117"/>
    <mergeCell ref="B70:H70"/>
    <mergeCell ref="C72:D72"/>
    <mergeCell ref="C73:D73"/>
    <mergeCell ref="B1:H1"/>
    <mergeCell ref="B2:H2"/>
    <mergeCell ref="B3:H3"/>
    <mergeCell ref="C5:D5"/>
    <mergeCell ref="C6:D6"/>
    <mergeCell ref="C7:D7"/>
    <mergeCell ref="E17:F17"/>
    <mergeCell ref="F31:H31"/>
    <mergeCell ref="F33:H33"/>
    <mergeCell ref="C11:C12"/>
    <mergeCell ref="D11:D12"/>
    <mergeCell ref="E11:F12"/>
    <mergeCell ref="E13:F13"/>
    <mergeCell ref="E16:F16"/>
    <mergeCell ref="F9:G9"/>
    <mergeCell ref="E6:H6"/>
    <mergeCell ref="C74:D74"/>
    <mergeCell ref="C78:C79"/>
    <mergeCell ref="D78:D79"/>
    <mergeCell ref="E78:F79"/>
    <mergeCell ref="E73:H73"/>
    <mergeCell ref="F76:G76"/>
    <mergeCell ref="B145:H145"/>
    <mergeCell ref="B146:H146"/>
    <mergeCell ref="C148:D148"/>
    <mergeCell ref="C149:D149"/>
    <mergeCell ref="E149:H149"/>
    <mergeCell ref="C150:D150"/>
    <mergeCell ref="E121:F121"/>
    <mergeCell ref="E122:F122"/>
    <mergeCell ref="F136:H136"/>
    <mergeCell ref="F138:H138"/>
    <mergeCell ref="F143:H143"/>
    <mergeCell ref="B144:H144"/>
    <mergeCell ref="F297:H297"/>
    <mergeCell ref="F298:H298"/>
    <mergeCell ref="F303:H303"/>
    <mergeCell ref="B306:H306"/>
    <mergeCell ref="C272:D272"/>
    <mergeCell ref="C276:C277"/>
    <mergeCell ref="D276:D277"/>
    <mergeCell ref="E276:F277"/>
    <mergeCell ref="E278:F278"/>
    <mergeCell ref="F274:G274"/>
    <mergeCell ref="C316:C317"/>
    <mergeCell ref="D316:D317"/>
    <mergeCell ref="E316:F317"/>
    <mergeCell ref="E318:F318"/>
    <mergeCell ref="E321:F321"/>
    <mergeCell ref="B307:H307"/>
    <mergeCell ref="B308:H308"/>
    <mergeCell ref="C310:D310"/>
    <mergeCell ref="C311:D311"/>
    <mergeCell ref="E311:H311"/>
    <mergeCell ref="C312:D312"/>
    <mergeCell ref="F314:G314"/>
    <mergeCell ref="B347:H347"/>
    <mergeCell ref="C349:D349"/>
    <mergeCell ref="C350:D350"/>
    <mergeCell ref="E350:H350"/>
    <mergeCell ref="C351:D351"/>
    <mergeCell ref="E322:F322"/>
    <mergeCell ref="F336:H336"/>
    <mergeCell ref="F337:H337"/>
    <mergeCell ref="F342:H342"/>
    <mergeCell ref="B345:H345"/>
    <mergeCell ref="B346:H346"/>
    <mergeCell ref="D355:D356"/>
    <mergeCell ref="E355:F356"/>
    <mergeCell ref="E357:F357"/>
    <mergeCell ref="E360:F360"/>
    <mergeCell ref="E361:F361"/>
    <mergeCell ref="B384:H384"/>
    <mergeCell ref="B385:H385"/>
    <mergeCell ref="B386:H386"/>
    <mergeCell ref="C388:D388"/>
    <mergeCell ref="C355:C356"/>
    <mergeCell ref="F375:H375"/>
    <mergeCell ref="F377:H377"/>
    <mergeCell ref="F382:H382"/>
    <mergeCell ref="E399:F399"/>
    <mergeCell ref="E400:F400"/>
    <mergeCell ref="F414:H414"/>
    <mergeCell ref="F416:H416"/>
    <mergeCell ref="F421:H421"/>
    <mergeCell ref="C432:D432"/>
    <mergeCell ref="C436:C437"/>
    <mergeCell ref="D436:D437"/>
    <mergeCell ref="E436:F437"/>
    <mergeCell ref="F434:G434"/>
    <mergeCell ref="E438:F438"/>
    <mergeCell ref="B426:H426"/>
    <mergeCell ref="B427:H427"/>
    <mergeCell ref="B428:H428"/>
    <mergeCell ref="C430:D430"/>
    <mergeCell ref="C431:D431"/>
    <mergeCell ref="E431:H431"/>
    <mergeCell ref="E442:F442"/>
    <mergeCell ref="F456:H456"/>
    <mergeCell ref="E441:F441"/>
    <mergeCell ref="F458:H458"/>
    <mergeCell ref="F463:H463"/>
    <mergeCell ref="B465:H465"/>
    <mergeCell ref="E481:F481"/>
    <mergeCell ref="F495:H495"/>
    <mergeCell ref="F497:H497"/>
    <mergeCell ref="F502:H502"/>
    <mergeCell ref="C471:D471"/>
    <mergeCell ref="F473:G473"/>
    <mergeCell ref="B467:H467"/>
    <mergeCell ref="C469:D469"/>
    <mergeCell ref="C470:D470"/>
    <mergeCell ref="E470:H470"/>
    <mergeCell ref="B505:H505"/>
    <mergeCell ref="B506:H506"/>
    <mergeCell ref="C475:C476"/>
    <mergeCell ref="D475:D476"/>
    <mergeCell ref="E475:F476"/>
    <mergeCell ref="E477:F477"/>
    <mergeCell ref="E480:F480"/>
    <mergeCell ref="C515:C516"/>
    <mergeCell ref="D515:D516"/>
    <mergeCell ref="E515:F516"/>
    <mergeCell ref="F513:G513"/>
    <mergeCell ref="E517:F517"/>
    <mergeCell ref="E520:F520"/>
    <mergeCell ref="E521:F521"/>
    <mergeCell ref="B507:H507"/>
    <mergeCell ref="C509:D509"/>
    <mergeCell ref="C510:D510"/>
    <mergeCell ref="E510:H510"/>
    <mergeCell ref="C511:D511"/>
    <mergeCell ref="E559:F559"/>
    <mergeCell ref="F537:H537"/>
    <mergeCell ref="F538:H538"/>
    <mergeCell ref="F543:H543"/>
    <mergeCell ref="B545:H545"/>
    <mergeCell ref="B546:H546"/>
    <mergeCell ref="B547:H547"/>
    <mergeCell ref="C549:D549"/>
    <mergeCell ref="C550:D550"/>
    <mergeCell ref="E550:H550"/>
    <mergeCell ref="C551:D551"/>
    <mergeCell ref="F553:G553"/>
    <mergeCell ref="C555:C556"/>
    <mergeCell ref="D555:D556"/>
    <mergeCell ref="E555:F556"/>
    <mergeCell ref="E557:F557"/>
    <mergeCell ref="E560:F560"/>
    <mergeCell ref="F568:H568"/>
    <mergeCell ref="F569:H569"/>
    <mergeCell ref="F574:H574"/>
    <mergeCell ref="C589:D589"/>
    <mergeCell ref="C593:C594"/>
    <mergeCell ref="D593:D594"/>
    <mergeCell ref="E593:F594"/>
    <mergeCell ref="E595:F595"/>
    <mergeCell ref="F591:G591"/>
    <mergeCell ref="B583:H583"/>
    <mergeCell ref="B584:H584"/>
    <mergeCell ref="B585:H585"/>
    <mergeCell ref="C587:D587"/>
    <mergeCell ref="C588:D588"/>
    <mergeCell ref="E588:H588"/>
    <mergeCell ref="B626:H626"/>
    <mergeCell ref="B627:H627"/>
    <mergeCell ref="C629:D629"/>
    <mergeCell ref="C630:D630"/>
    <mergeCell ref="E630:H630"/>
    <mergeCell ref="C631:D631"/>
    <mergeCell ref="F633:G633"/>
    <mergeCell ref="E598:F598"/>
    <mergeCell ref="E599:F599"/>
    <mergeCell ref="F614:H614"/>
    <mergeCell ref="F616:H616"/>
    <mergeCell ref="F621:H621"/>
    <mergeCell ref="B625:H625"/>
    <mergeCell ref="E641:F641"/>
    <mergeCell ref="F656:H656"/>
    <mergeCell ref="F657:H657"/>
    <mergeCell ref="F662:H662"/>
    <mergeCell ref="C635:C636"/>
    <mergeCell ref="D635:D636"/>
    <mergeCell ref="E635:F636"/>
    <mergeCell ref="E637:F637"/>
    <mergeCell ref="E640:F640"/>
    <mergeCell ref="F780:H780"/>
    <mergeCell ref="F775:H775"/>
    <mergeCell ref="B745:H745"/>
    <mergeCell ref="E757:F757"/>
    <mergeCell ref="E759:F759"/>
    <mergeCell ref="E760:F760"/>
    <mergeCell ref="C755:C756"/>
    <mergeCell ref="F773:H773"/>
    <mergeCell ref="B746:H746"/>
    <mergeCell ref="B747:H747"/>
    <mergeCell ref="C749:D749"/>
    <mergeCell ref="C750:D750"/>
    <mergeCell ref="E750:H750"/>
    <mergeCell ref="C751:D751"/>
    <mergeCell ref="F753:G753"/>
    <mergeCell ref="D755:D756"/>
    <mergeCell ref="E755:F756"/>
  </mergeCells>
  <pageMargins left="0.95" right="0.45" top="0.75" bottom="0.75" header="0.3" footer="0.3"/>
  <pageSetup paperSize="256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7030A0"/>
  </sheetPr>
  <dimension ref="B1:I40"/>
  <sheetViews>
    <sheetView workbookViewId="0">
      <selection activeCell="E26" sqref="E26"/>
    </sheetView>
  </sheetViews>
  <sheetFormatPr defaultRowHeight="15"/>
  <cols>
    <col min="1" max="1" width="4.42578125" customWidth="1"/>
    <col min="2" max="2" width="4.140625" customWidth="1"/>
    <col min="3" max="3" width="5.7109375" customWidth="1"/>
    <col min="4" max="4" width="27.85546875" customWidth="1"/>
    <col min="5" max="5" width="15" customWidth="1"/>
    <col min="6" max="6" width="14" customWidth="1"/>
    <col min="7" max="7" width="15.42578125" customWidth="1"/>
    <col min="8" max="8" width="15" customWidth="1"/>
    <col min="9" max="9" width="14.28515625" customWidth="1"/>
  </cols>
  <sheetData>
    <row r="1" spans="2:9" ht="15.75">
      <c r="B1" s="973" t="s">
        <v>54</v>
      </c>
      <c r="C1" s="973"/>
      <c r="D1" s="973"/>
      <c r="E1" s="973"/>
      <c r="F1" s="973"/>
      <c r="G1" s="973"/>
      <c r="H1" s="973"/>
      <c r="I1" s="973"/>
    </row>
    <row r="2" spans="2:9" ht="15.75">
      <c r="B2" s="973" t="s">
        <v>55</v>
      </c>
      <c r="C2" s="973"/>
      <c r="D2" s="973"/>
      <c r="E2" s="973"/>
      <c r="F2" s="973"/>
      <c r="G2" s="973"/>
      <c r="H2" s="973"/>
      <c r="I2" s="973"/>
    </row>
    <row r="3" spans="2:9" ht="15.75">
      <c r="B3" s="973" t="s">
        <v>53</v>
      </c>
      <c r="C3" s="973"/>
      <c r="D3" s="973"/>
      <c r="E3" s="973"/>
      <c r="F3" s="973"/>
      <c r="G3" s="973"/>
      <c r="H3" s="973"/>
      <c r="I3" s="973"/>
    </row>
    <row r="4" spans="2:9" ht="15.75">
      <c r="B4" s="202"/>
      <c r="C4" s="206"/>
      <c r="D4" s="202"/>
      <c r="E4" s="203"/>
      <c r="F4" s="203"/>
      <c r="G4" s="203"/>
      <c r="H4" s="202"/>
      <c r="I4" s="202"/>
    </row>
    <row r="5" spans="2:9" ht="15.75">
      <c r="B5" s="204">
        <v>1</v>
      </c>
      <c r="C5" s="974" t="s">
        <v>172</v>
      </c>
      <c r="D5" s="974"/>
      <c r="E5" t="s">
        <v>465</v>
      </c>
      <c r="F5" s="136"/>
      <c r="G5" s="136"/>
      <c r="H5" s="136"/>
      <c r="I5" s="202"/>
    </row>
    <row r="6" spans="2:9">
      <c r="B6" s="134">
        <v>2</v>
      </c>
      <c r="C6" s="975" t="s">
        <v>173</v>
      </c>
      <c r="D6" s="975"/>
      <c r="E6" s="959" t="s">
        <v>466</v>
      </c>
      <c r="F6" s="959"/>
      <c r="G6" s="959"/>
      <c r="H6" s="959"/>
      <c r="I6" s="959"/>
    </row>
    <row r="7" spans="2:9" ht="15.75">
      <c r="B7" s="204">
        <v>3</v>
      </c>
      <c r="C7" s="974" t="s">
        <v>174</v>
      </c>
      <c r="D7" s="974"/>
      <c r="E7" s="136" t="s">
        <v>186</v>
      </c>
      <c r="F7" s="136"/>
      <c r="G7" s="136"/>
      <c r="H7" s="136"/>
      <c r="I7" s="202"/>
    </row>
    <row r="8" spans="2:9" ht="15.75">
      <c r="B8" s="204">
        <v>4</v>
      </c>
      <c r="C8" s="207" t="s">
        <v>183</v>
      </c>
      <c r="D8" s="207"/>
      <c r="E8" t="s">
        <v>213</v>
      </c>
      <c r="F8" s="136"/>
      <c r="G8" s="136"/>
      <c r="H8" s="136"/>
      <c r="I8" s="202"/>
    </row>
    <row r="9" spans="2:9" ht="15.75">
      <c r="B9" s="204">
        <v>5</v>
      </c>
      <c r="C9" s="207" t="s">
        <v>184</v>
      </c>
      <c r="D9" s="207"/>
      <c r="E9" s="136" t="s">
        <v>222</v>
      </c>
      <c r="F9" s="976">
        <f>I15</f>
        <v>0</v>
      </c>
      <c r="G9" s="976"/>
      <c r="H9" s="136"/>
      <c r="I9" s="202"/>
    </row>
    <row r="10" spans="2:9" ht="15.75">
      <c r="B10" s="204"/>
      <c r="C10" s="207" t="s">
        <v>194</v>
      </c>
      <c r="D10" s="207"/>
      <c r="E10" s="136"/>
      <c r="F10" s="136"/>
      <c r="G10" s="136"/>
      <c r="H10" s="136"/>
      <c r="I10" s="202"/>
    </row>
    <row r="11" spans="2:9" ht="31.5">
      <c r="B11" s="202"/>
      <c r="C11" s="977" t="s">
        <v>56</v>
      </c>
      <c r="D11" s="978" t="s">
        <v>0</v>
      </c>
      <c r="E11" s="980" t="s">
        <v>57</v>
      </c>
      <c r="F11" s="981"/>
      <c r="G11" s="981"/>
      <c r="H11" s="208" t="s">
        <v>58</v>
      </c>
      <c r="I11" s="208" t="s">
        <v>59</v>
      </c>
    </row>
    <row r="12" spans="2:9" ht="15.75">
      <c r="B12" s="202"/>
      <c r="C12" s="977"/>
      <c r="D12" s="979"/>
      <c r="E12" s="982"/>
      <c r="F12" s="983"/>
      <c r="G12" s="983"/>
      <c r="H12" s="209" t="s">
        <v>52</v>
      </c>
      <c r="I12" s="209" t="s">
        <v>52</v>
      </c>
    </row>
    <row r="13" spans="2:9" ht="15.75">
      <c r="B13" s="202"/>
      <c r="C13" s="210">
        <v>1</v>
      </c>
      <c r="D13" s="211">
        <v>2</v>
      </c>
      <c r="E13" s="970">
        <v>3</v>
      </c>
      <c r="F13" s="971"/>
      <c r="G13" s="972"/>
      <c r="H13" s="212">
        <v>4</v>
      </c>
      <c r="I13" s="209">
        <v>5</v>
      </c>
    </row>
    <row r="14" spans="2:9" ht="15.75">
      <c r="B14" s="202"/>
      <c r="C14" s="225">
        <v>2.5</v>
      </c>
      <c r="D14" s="245" t="s">
        <v>467</v>
      </c>
      <c r="E14" s="243"/>
      <c r="F14" s="243"/>
      <c r="G14" s="243"/>
      <c r="H14" s="244"/>
      <c r="I14" s="226"/>
    </row>
    <row r="15" spans="2:9" ht="15.75">
      <c r="B15" s="202"/>
      <c r="C15" s="113"/>
      <c r="D15" s="245"/>
      <c r="E15" s="230" t="s">
        <v>218</v>
      </c>
      <c r="F15" s="230" t="s">
        <v>219</v>
      </c>
      <c r="G15" s="230" t="s">
        <v>409</v>
      </c>
      <c r="H15" s="213"/>
      <c r="I15" s="214">
        <f>SUM(I16+I30)</f>
        <v>0</v>
      </c>
    </row>
    <row r="16" spans="2:9" ht="15.75">
      <c r="B16" s="202"/>
      <c r="C16" s="215">
        <v>2</v>
      </c>
      <c r="D16" s="216" t="s">
        <v>34</v>
      </c>
      <c r="E16" s="963"/>
      <c r="F16" s="964"/>
      <c r="G16" s="965"/>
      <c r="H16" s="217"/>
      <c r="I16" s="218">
        <f>SUM(I18:I29)</f>
        <v>0</v>
      </c>
    </row>
    <row r="17" spans="2:9" ht="30">
      <c r="B17" s="202"/>
      <c r="C17" s="215"/>
      <c r="D17" s="228" t="s">
        <v>416</v>
      </c>
      <c r="E17" s="966">
        <v>400000</v>
      </c>
      <c r="F17" s="967"/>
      <c r="G17" s="968"/>
      <c r="H17" s="217"/>
      <c r="I17" s="218"/>
    </row>
    <row r="18" spans="2:9" ht="15.75">
      <c r="B18" s="202"/>
      <c r="C18" s="215"/>
      <c r="D18" s="227" t="s">
        <v>207</v>
      </c>
      <c r="E18" s="101">
        <v>0</v>
      </c>
      <c r="F18" s="229" t="s">
        <v>64</v>
      </c>
      <c r="G18" s="198">
        <v>0.2</v>
      </c>
      <c r="H18" s="238">
        <f>E17*G18</f>
        <v>80000</v>
      </c>
      <c r="I18" s="221">
        <f t="shared" ref="I18:I23" si="0">E18*H18</f>
        <v>0</v>
      </c>
    </row>
    <row r="19" spans="2:9" ht="15.75">
      <c r="B19" s="202"/>
      <c r="C19" s="219"/>
      <c r="D19" s="227" t="s">
        <v>208</v>
      </c>
      <c r="E19" s="101">
        <v>0</v>
      </c>
      <c r="F19" s="229" t="s">
        <v>64</v>
      </c>
      <c r="G19" s="198">
        <v>0.15</v>
      </c>
      <c r="H19" s="238">
        <f>E17*G19</f>
        <v>60000</v>
      </c>
      <c r="I19" s="221">
        <f t="shared" si="0"/>
        <v>0</v>
      </c>
    </row>
    <row r="20" spans="2:9" ht="15.75">
      <c r="B20" s="202"/>
      <c r="C20" s="219"/>
      <c r="D20" s="227"/>
      <c r="E20" s="101">
        <v>0</v>
      </c>
      <c r="F20" s="229" t="s">
        <v>64</v>
      </c>
      <c r="G20" s="198">
        <v>0.13</v>
      </c>
      <c r="H20" s="238">
        <f>E17*G20</f>
        <v>52000</v>
      </c>
      <c r="I20" s="221">
        <f t="shared" si="0"/>
        <v>0</v>
      </c>
    </row>
    <row r="21" spans="2:9" ht="15.75">
      <c r="B21" s="202"/>
      <c r="C21" s="219"/>
      <c r="D21" s="227"/>
      <c r="E21" s="101">
        <v>0</v>
      </c>
      <c r="F21" s="229" t="s">
        <v>64</v>
      </c>
      <c r="G21" s="198">
        <v>0.12</v>
      </c>
      <c r="H21" s="238">
        <f>E17*G21</f>
        <v>48000</v>
      </c>
      <c r="I21" s="221">
        <f t="shared" si="0"/>
        <v>0</v>
      </c>
    </row>
    <row r="22" spans="2:9" ht="15.75">
      <c r="B22" s="202"/>
      <c r="C22" s="219"/>
      <c r="D22" s="227"/>
      <c r="E22" s="101">
        <v>0</v>
      </c>
      <c r="F22" s="229" t="s">
        <v>64</v>
      </c>
      <c r="G22" s="198">
        <v>0.1</v>
      </c>
      <c r="H22" s="238">
        <f>E17*G22</f>
        <v>40000</v>
      </c>
      <c r="I22" s="221">
        <f t="shared" si="0"/>
        <v>0</v>
      </c>
    </row>
    <row r="23" spans="2:9" ht="15.75">
      <c r="B23" s="202"/>
      <c r="C23" s="219"/>
      <c r="D23" s="227"/>
      <c r="E23" s="101">
        <v>0</v>
      </c>
      <c r="F23" s="229" t="s">
        <v>64</v>
      </c>
      <c r="G23" s="199">
        <v>7.4999999999999997E-2</v>
      </c>
      <c r="H23" s="238">
        <f>E17*G23</f>
        <v>30000</v>
      </c>
      <c r="I23" s="221">
        <f t="shared" si="0"/>
        <v>0</v>
      </c>
    </row>
    <row r="24" spans="2:9" ht="15.75">
      <c r="B24" s="202"/>
      <c r="C24" s="219"/>
      <c r="D24" s="236"/>
      <c r="E24" s="101">
        <v>0</v>
      </c>
      <c r="F24" s="229" t="s">
        <v>64</v>
      </c>
      <c r="G24" s="229">
        <v>1</v>
      </c>
      <c r="H24" s="220">
        <v>15000</v>
      </c>
      <c r="I24" s="221">
        <f>E24*G24*H24</f>
        <v>0</v>
      </c>
    </row>
    <row r="25" spans="2:9" ht="15.75">
      <c r="B25" s="202"/>
      <c r="C25" s="219"/>
      <c r="D25" s="236"/>
      <c r="E25" s="101">
        <v>0</v>
      </c>
      <c r="F25" s="229" t="s">
        <v>64</v>
      </c>
      <c r="G25" s="229">
        <v>1</v>
      </c>
      <c r="H25" s="220">
        <v>10000</v>
      </c>
      <c r="I25" s="221">
        <f>E25*G25*H25</f>
        <v>0</v>
      </c>
    </row>
    <row r="26" spans="2:9" ht="15.75">
      <c r="B26" s="202"/>
      <c r="C26" s="219"/>
      <c r="D26" s="231"/>
      <c r="E26" s="229">
        <v>0</v>
      </c>
      <c r="F26" s="229" t="s">
        <v>64</v>
      </c>
      <c r="G26" s="229">
        <v>1</v>
      </c>
      <c r="H26" s="220">
        <v>25000</v>
      </c>
      <c r="I26" s="221">
        <f>E26*G26*H26</f>
        <v>0</v>
      </c>
    </row>
    <row r="27" spans="2:9" ht="15.75">
      <c r="B27" s="202"/>
      <c r="C27" s="219"/>
      <c r="D27" s="228"/>
      <c r="E27" s="229">
        <v>0</v>
      </c>
      <c r="F27" s="229" t="s">
        <v>64</v>
      </c>
      <c r="G27" s="229">
        <v>1</v>
      </c>
      <c r="H27" s="220">
        <v>12500</v>
      </c>
      <c r="I27" s="221">
        <f>E27*G27*H27</f>
        <v>0</v>
      </c>
    </row>
    <row r="28" spans="2:9" ht="15.75">
      <c r="B28" s="202"/>
      <c r="C28" s="219"/>
      <c r="D28" s="242"/>
      <c r="E28" s="229">
        <v>0</v>
      </c>
      <c r="F28" s="229" t="s">
        <v>64</v>
      </c>
      <c r="G28" s="229">
        <v>1</v>
      </c>
      <c r="H28" s="220"/>
      <c r="I28" s="221"/>
    </row>
    <row r="29" spans="2:9" ht="15.75">
      <c r="B29" s="202"/>
      <c r="C29" s="150"/>
      <c r="D29" s="232"/>
      <c r="E29" s="219">
        <v>0</v>
      </c>
      <c r="F29" s="229" t="s">
        <v>64</v>
      </c>
      <c r="G29" s="229">
        <v>1</v>
      </c>
      <c r="H29" s="239">
        <v>200000</v>
      </c>
      <c r="I29" s="221">
        <f>E29*G29*H29</f>
        <v>0</v>
      </c>
    </row>
    <row r="30" spans="2:9" ht="15.75">
      <c r="B30" s="202"/>
      <c r="C30" s="168">
        <v>3</v>
      </c>
      <c r="D30" s="237" t="s">
        <v>32</v>
      </c>
      <c r="E30" s="222"/>
      <c r="F30" s="233"/>
      <c r="G30" s="218"/>
      <c r="H30" s="239"/>
      <c r="I30" s="223">
        <f>SUM(I31)</f>
        <v>0</v>
      </c>
    </row>
    <row r="31" spans="2:9" ht="15.75">
      <c r="B31" s="202"/>
      <c r="C31" s="150"/>
      <c r="D31" s="232"/>
      <c r="E31" s="222"/>
      <c r="F31" s="233"/>
      <c r="G31" s="218"/>
      <c r="H31" s="239"/>
      <c r="I31" s="223"/>
    </row>
    <row r="32" spans="2:9" ht="15.75">
      <c r="B32" s="202"/>
      <c r="C32" s="235"/>
      <c r="D32" s="168" t="s">
        <v>221</v>
      </c>
      <c r="E32" s="234"/>
      <c r="F32" s="234"/>
      <c r="G32" s="234"/>
      <c r="H32" s="239"/>
      <c r="I32" s="223">
        <f>I15</f>
        <v>0</v>
      </c>
    </row>
    <row r="33" spans="2:9" ht="15.75">
      <c r="B33" s="202"/>
      <c r="C33" s="224"/>
      <c r="D33" s="202"/>
      <c r="E33" s="203"/>
      <c r="F33" s="969" t="s">
        <v>116</v>
      </c>
      <c r="G33" s="969"/>
      <c r="H33" s="969"/>
      <c r="I33" s="969"/>
    </row>
    <row r="34" spans="2:9" ht="15.75">
      <c r="B34" s="202"/>
      <c r="C34" s="224"/>
      <c r="D34" s="224"/>
      <c r="E34" s="203"/>
      <c r="F34" s="203"/>
      <c r="G34" s="203"/>
      <c r="H34" s="202"/>
      <c r="I34" s="202"/>
    </row>
    <row r="35" spans="2:9" ht="15.75">
      <c r="B35" s="202"/>
      <c r="C35" s="202"/>
      <c r="D35" s="206" t="s">
        <v>76</v>
      </c>
      <c r="E35" s="203"/>
      <c r="F35" s="969" t="s">
        <v>77</v>
      </c>
      <c r="G35" s="969"/>
      <c r="H35" s="969"/>
      <c r="I35" s="969"/>
    </row>
    <row r="36" spans="2:9" ht="15.75">
      <c r="B36" s="202"/>
      <c r="C36" s="202"/>
      <c r="D36" s="224" t="s">
        <v>78</v>
      </c>
      <c r="E36" s="203"/>
      <c r="F36" s="203"/>
      <c r="G36" s="203"/>
      <c r="H36" s="205"/>
      <c r="I36" s="202"/>
    </row>
    <row r="37" spans="2:9" ht="15.75">
      <c r="B37" s="202"/>
      <c r="C37" s="224"/>
      <c r="D37" s="224"/>
      <c r="E37" s="203"/>
      <c r="F37" s="203"/>
      <c r="G37" s="203"/>
      <c r="H37" s="202"/>
      <c r="I37" s="202"/>
    </row>
    <row r="38" spans="2:9" ht="15.75">
      <c r="B38" s="202"/>
      <c r="C38" s="224"/>
      <c r="D38" s="224"/>
      <c r="E38" s="203"/>
      <c r="F38" s="203"/>
      <c r="G38" s="203"/>
      <c r="H38" s="202"/>
      <c r="I38" s="202"/>
    </row>
    <row r="39" spans="2:9" ht="15.75">
      <c r="B39" s="202"/>
      <c r="C39" s="224"/>
      <c r="D39" s="224"/>
      <c r="E39" s="203"/>
      <c r="F39" s="203"/>
      <c r="G39" s="203"/>
      <c r="H39" s="202"/>
      <c r="I39" s="202"/>
    </row>
    <row r="40" spans="2:9" ht="15.75">
      <c r="B40" s="202"/>
      <c r="C40" s="224"/>
      <c r="D40" s="206" t="s">
        <v>51</v>
      </c>
      <c r="E40" s="203"/>
      <c r="F40" s="969" t="s">
        <v>428</v>
      </c>
      <c r="G40" s="969"/>
      <c r="H40" s="969"/>
      <c r="I40" s="969"/>
    </row>
  </sheetData>
  <mergeCells count="17">
    <mergeCell ref="E13:G13"/>
    <mergeCell ref="B1:I1"/>
    <mergeCell ref="B2:I2"/>
    <mergeCell ref="B3:I3"/>
    <mergeCell ref="C5:D5"/>
    <mergeCell ref="C6:D6"/>
    <mergeCell ref="E6:I6"/>
    <mergeCell ref="C7:D7"/>
    <mergeCell ref="F9:G9"/>
    <mergeCell ref="C11:C12"/>
    <mergeCell ref="D11:D12"/>
    <mergeCell ref="E11:G12"/>
    <mergeCell ref="E16:G16"/>
    <mergeCell ref="E17:G17"/>
    <mergeCell ref="F33:I33"/>
    <mergeCell ref="F35:I35"/>
    <mergeCell ref="F40:I40"/>
  </mergeCells>
  <pageMargins left="0.7" right="0.7" top="0.75" bottom="0.75" header="0.3" footer="0.3"/>
  <pageSetup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C00000"/>
  </sheetPr>
  <dimension ref="B1:K104"/>
  <sheetViews>
    <sheetView workbookViewId="0">
      <selection activeCell="E7" sqref="E7"/>
    </sheetView>
  </sheetViews>
  <sheetFormatPr defaultRowHeight="14.25"/>
  <cols>
    <col min="1" max="1" width="1.28515625" style="29" customWidth="1"/>
    <col min="2" max="2" width="2.42578125" style="29" customWidth="1"/>
    <col min="3" max="3" width="4.140625" style="29" customWidth="1"/>
    <col min="4" max="4" width="24.7109375" style="29" customWidth="1"/>
    <col min="5" max="5" width="12.42578125" style="29" customWidth="1"/>
    <col min="6" max="6" width="12.42578125" style="400" customWidth="1"/>
    <col min="7" max="7" width="13.42578125" style="400" customWidth="1"/>
    <col min="8" max="8" width="12.42578125" style="400" customWidth="1"/>
    <col min="9" max="9" width="12.42578125" style="29" customWidth="1"/>
    <col min="10" max="16384" width="9.140625" style="29"/>
  </cols>
  <sheetData>
    <row r="1" spans="2:9" ht="15.75">
      <c r="B1" s="993" t="s">
        <v>171</v>
      </c>
      <c r="C1" s="993"/>
      <c r="D1" s="993"/>
      <c r="E1" s="993"/>
      <c r="F1" s="993"/>
      <c r="G1" s="993"/>
      <c r="H1" s="993"/>
      <c r="I1" s="993"/>
    </row>
    <row r="2" spans="2:9" ht="15.75">
      <c r="B2" s="994" t="s">
        <v>55</v>
      </c>
      <c r="C2" s="994"/>
      <c r="D2" s="994"/>
      <c r="E2" s="994"/>
      <c r="F2" s="994"/>
      <c r="G2" s="994"/>
      <c r="H2" s="994"/>
      <c r="I2" s="994"/>
    </row>
    <row r="3" spans="2:9" ht="15.75">
      <c r="B3" s="994" t="s">
        <v>53</v>
      </c>
      <c r="C3" s="994"/>
      <c r="D3" s="994"/>
      <c r="E3" s="994"/>
      <c r="F3" s="994"/>
      <c r="G3" s="994"/>
      <c r="H3" s="994"/>
      <c r="I3" s="994"/>
    </row>
    <row r="4" spans="2:9">
      <c r="B4" s="362">
        <v>1</v>
      </c>
      <c r="C4" s="986" t="s">
        <v>172</v>
      </c>
      <c r="D4" s="986"/>
      <c r="E4" s="29" t="s">
        <v>664</v>
      </c>
    </row>
    <row r="5" spans="2:9" ht="18" customHeight="1">
      <c r="B5" s="367">
        <v>2</v>
      </c>
      <c r="C5" s="987" t="s">
        <v>173</v>
      </c>
      <c r="D5" s="987"/>
      <c r="E5" s="992" t="s">
        <v>665</v>
      </c>
      <c r="F5" s="992"/>
      <c r="G5" s="992"/>
      <c r="H5" s="992"/>
      <c r="I5" s="992"/>
    </row>
    <row r="6" spans="2:9">
      <c r="B6" s="362">
        <v>3</v>
      </c>
      <c r="C6" s="986" t="s">
        <v>174</v>
      </c>
      <c r="D6" s="986"/>
      <c r="E6" s="29" t="s">
        <v>910</v>
      </c>
    </row>
    <row r="7" spans="2:9">
      <c r="B7" s="362">
        <v>4</v>
      </c>
      <c r="C7" s="363" t="s">
        <v>183</v>
      </c>
      <c r="D7" s="363"/>
      <c r="E7" s="29" t="s">
        <v>187</v>
      </c>
    </row>
    <row r="8" spans="2:9">
      <c r="B8" s="362">
        <v>5</v>
      </c>
      <c r="C8" s="363" t="s">
        <v>184</v>
      </c>
      <c r="D8" s="363"/>
      <c r="E8" s="32" t="s">
        <v>583</v>
      </c>
      <c r="F8" s="251"/>
    </row>
    <row r="9" spans="2:9">
      <c r="B9" s="362">
        <v>6</v>
      </c>
      <c r="C9" s="363" t="s">
        <v>185</v>
      </c>
      <c r="D9" s="363"/>
      <c r="E9" s="29" t="s">
        <v>189</v>
      </c>
    </row>
    <row r="10" spans="2:9" ht="15.75">
      <c r="C10" s="364" t="s">
        <v>175</v>
      </c>
    </row>
    <row r="11" spans="2:9" ht="36">
      <c r="C11" s="985" t="s">
        <v>56</v>
      </c>
      <c r="D11" s="985" t="s">
        <v>0</v>
      </c>
      <c r="E11" s="391" t="s">
        <v>176</v>
      </c>
      <c r="F11" s="401" t="s">
        <v>177</v>
      </c>
      <c r="G11" s="401" t="s">
        <v>178</v>
      </c>
      <c r="H11" s="401" t="s">
        <v>179</v>
      </c>
      <c r="I11" s="391" t="s">
        <v>180</v>
      </c>
    </row>
    <row r="12" spans="2:9">
      <c r="C12" s="985"/>
      <c r="D12" s="985"/>
      <c r="E12" s="392" t="s">
        <v>52</v>
      </c>
      <c r="F12" s="402" t="s">
        <v>52</v>
      </c>
      <c r="G12" s="402" t="s">
        <v>52</v>
      </c>
      <c r="H12" s="402" t="s">
        <v>52</v>
      </c>
      <c r="I12" s="392" t="s">
        <v>52</v>
      </c>
    </row>
    <row r="13" spans="2:9" ht="24">
      <c r="C13" s="393"/>
      <c r="D13" s="394" t="s">
        <v>666</v>
      </c>
      <c r="E13" s="462">
        <f>SUM(E14:E20)</f>
        <v>236496000</v>
      </c>
      <c r="F13" s="402">
        <f>SUM(F14:F20)</f>
        <v>0</v>
      </c>
      <c r="G13" s="463">
        <f>SUM(G14:G20)</f>
        <v>98540000</v>
      </c>
      <c r="H13" s="463">
        <f>SUM(H14:H20)</f>
        <v>98540000</v>
      </c>
      <c r="I13" s="462">
        <f>SUM(E13-H13)</f>
        <v>137956000</v>
      </c>
    </row>
    <row r="14" spans="2:9">
      <c r="C14" s="91"/>
      <c r="D14" s="201" t="s">
        <v>71</v>
      </c>
      <c r="E14" s="379">
        <f>'RAB Penyelenggaraan Pem'!J17</f>
        <v>31200000</v>
      </c>
      <c r="F14" s="379"/>
      <c r="G14" s="95">
        <f>'RAB Penyelenggaraan Pem'!I17*5</f>
        <v>13000000</v>
      </c>
      <c r="H14" s="450">
        <f>SUM(F14+G14)</f>
        <v>13000000</v>
      </c>
      <c r="I14" s="451">
        <f>SUM(E14-H14)</f>
        <v>18200000</v>
      </c>
    </row>
    <row r="15" spans="2:9">
      <c r="C15" s="91"/>
      <c r="D15" s="448" t="s">
        <v>671</v>
      </c>
      <c r="E15" s="381">
        <f>'RAB Penyelenggaraan Pem'!J18</f>
        <v>21840000</v>
      </c>
      <c r="F15" s="380"/>
      <c r="G15" s="95">
        <f>'RAB Penyelenggaraan Pem'!I18*5</f>
        <v>9100000</v>
      </c>
      <c r="H15" s="450">
        <f t="shared" ref="H15:H51" si="0">SUM(F15+G15)</f>
        <v>9100000</v>
      </c>
      <c r="I15" s="451">
        <f t="shared" ref="I15:I55" si="1">SUM(E15-H15)</f>
        <v>12740000</v>
      </c>
    </row>
    <row r="16" spans="2:9">
      <c r="C16" s="91"/>
      <c r="D16" s="442" t="s">
        <v>667</v>
      </c>
      <c r="E16" s="383">
        <f>'RAB Penyelenggaraan Pem'!J19</f>
        <v>17472000.000000004</v>
      </c>
      <c r="F16" s="383"/>
      <c r="G16" s="95">
        <f>'RAB Penyelenggaraan Pem'!I19*5</f>
        <v>7280000.0000000009</v>
      </c>
      <c r="H16" s="450">
        <f t="shared" si="0"/>
        <v>7280000.0000000009</v>
      </c>
      <c r="I16" s="451">
        <f t="shared" si="1"/>
        <v>10192000.000000004</v>
      </c>
    </row>
    <row r="17" spans="3:9">
      <c r="C17" s="91"/>
      <c r="D17" s="442" t="s">
        <v>668</v>
      </c>
      <c r="E17" s="383">
        <f>'RAB Penyelenggaraan Pem'!J20</f>
        <v>16848000</v>
      </c>
      <c r="F17" s="383"/>
      <c r="G17" s="95">
        <f>'RAB Penyelenggaraan Pem'!I20*5</f>
        <v>7020000</v>
      </c>
      <c r="H17" s="450">
        <f t="shared" si="0"/>
        <v>7020000</v>
      </c>
      <c r="I17" s="451">
        <f t="shared" si="1"/>
        <v>9828000</v>
      </c>
    </row>
    <row r="18" spans="3:9">
      <c r="C18" s="91"/>
      <c r="D18" s="442" t="s">
        <v>182</v>
      </c>
      <c r="E18" s="383">
        <f>'RAB Penyelenggaraan Pem'!J21</f>
        <v>15600000</v>
      </c>
      <c r="F18" s="383"/>
      <c r="G18" s="95">
        <f>'RAB Penyelenggaraan Pem'!I21*5</f>
        <v>6500000</v>
      </c>
      <c r="H18" s="450">
        <f t="shared" si="0"/>
        <v>6500000</v>
      </c>
      <c r="I18" s="451">
        <f t="shared" si="1"/>
        <v>9100000</v>
      </c>
    </row>
    <row r="19" spans="3:9">
      <c r="C19" s="91"/>
      <c r="D19" s="442" t="s">
        <v>669</v>
      </c>
      <c r="E19" s="383">
        <f>'RAB Penyelenggaraan Pem'!J22</f>
        <v>52416000.000000007</v>
      </c>
      <c r="F19" s="383"/>
      <c r="G19" s="95">
        <f>'RAB Penyelenggaraan Pem'!I22*3*5</f>
        <v>21840000.000000004</v>
      </c>
      <c r="H19" s="450">
        <f t="shared" si="0"/>
        <v>21840000.000000004</v>
      </c>
      <c r="I19" s="451">
        <f t="shared" si="1"/>
        <v>30576000.000000004</v>
      </c>
    </row>
    <row r="20" spans="3:9">
      <c r="C20" s="96"/>
      <c r="D20" s="449" t="s">
        <v>670</v>
      </c>
      <c r="E20" s="92">
        <f>'RAB Penyelenggaraan Pem'!J23</f>
        <v>81120000</v>
      </c>
      <c r="F20" s="385"/>
      <c r="G20" s="95">
        <f>'RAB Penyelenggaraan Pem'!I23*5*5</f>
        <v>33800000</v>
      </c>
      <c r="H20" s="450">
        <f t="shared" si="0"/>
        <v>33800000</v>
      </c>
      <c r="I20" s="451">
        <f t="shared" si="1"/>
        <v>47320000</v>
      </c>
    </row>
    <row r="21" spans="3:9" ht="24">
      <c r="C21" s="94"/>
      <c r="D21" s="443" t="s">
        <v>196</v>
      </c>
      <c r="E21" s="265">
        <f>SUM(E22:E41)</f>
        <v>18994560</v>
      </c>
      <c r="F21" s="265">
        <f>SUM(F22:F41)</f>
        <v>0</v>
      </c>
      <c r="G21" s="464">
        <f>SUM(G22:G41)</f>
        <v>7914400</v>
      </c>
      <c r="H21" s="465">
        <f t="shared" si="0"/>
        <v>7914400</v>
      </c>
      <c r="I21" s="466">
        <f t="shared" si="1"/>
        <v>11080160</v>
      </c>
    </row>
    <row r="22" spans="3:9">
      <c r="C22" s="94"/>
      <c r="D22" s="452" t="s">
        <v>374</v>
      </c>
      <c r="E22" s="179">
        <f>'RAB Penyelenggaraan Pem'!J49</f>
        <v>1248000</v>
      </c>
      <c r="F22" s="27"/>
      <c r="G22" s="95">
        <f>'RAB Penyelenggaraan Pem'!I49*5</f>
        <v>520000</v>
      </c>
      <c r="H22" s="450">
        <f t="shared" si="0"/>
        <v>520000</v>
      </c>
      <c r="I22" s="451">
        <f t="shared" si="1"/>
        <v>728000</v>
      </c>
    </row>
    <row r="23" spans="3:9">
      <c r="C23" s="94"/>
      <c r="D23" s="452" t="s">
        <v>375</v>
      </c>
      <c r="E23" s="179">
        <f>'RAB Penyelenggaraan Pem'!J50</f>
        <v>873600</v>
      </c>
      <c r="F23" s="27"/>
      <c r="G23" s="95">
        <f>'RAB Penyelenggaraan Pem'!I50*5</f>
        <v>364000</v>
      </c>
      <c r="H23" s="450">
        <f t="shared" si="0"/>
        <v>364000</v>
      </c>
      <c r="I23" s="451">
        <f t="shared" si="1"/>
        <v>509600</v>
      </c>
    </row>
    <row r="24" spans="3:9">
      <c r="C24" s="94"/>
      <c r="D24" s="452" t="s">
        <v>376</v>
      </c>
      <c r="E24" s="179">
        <f>'RAB Penyelenggaraan Pem'!J51</f>
        <v>698880.00000000012</v>
      </c>
      <c r="F24" s="27"/>
      <c r="G24" s="95">
        <f>'RAB Penyelenggaraan Pem'!I51*5</f>
        <v>291200.00000000006</v>
      </c>
      <c r="H24" s="450">
        <f t="shared" si="0"/>
        <v>291200.00000000006</v>
      </c>
      <c r="I24" s="451">
        <f t="shared" si="1"/>
        <v>407680.00000000006</v>
      </c>
    </row>
    <row r="25" spans="3:9">
      <c r="C25" s="94"/>
      <c r="D25" s="452" t="s">
        <v>377</v>
      </c>
      <c r="E25" s="179">
        <f>'RAB Penyelenggaraan Pem'!J52</f>
        <v>673920</v>
      </c>
      <c r="F25" s="27"/>
      <c r="G25" s="95">
        <f>'RAB Penyelenggaraan Pem'!I52*5</f>
        <v>280800</v>
      </c>
      <c r="H25" s="450">
        <f t="shared" si="0"/>
        <v>280800</v>
      </c>
      <c r="I25" s="451">
        <f t="shared" si="1"/>
        <v>393120</v>
      </c>
    </row>
    <row r="26" spans="3:9" ht="14.25" customHeight="1">
      <c r="C26" s="94"/>
      <c r="D26" s="452" t="s">
        <v>390</v>
      </c>
      <c r="E26" s="179">
        <f>'RAB Penyelenggaraan Pem'!J53</f>
        <v>698880.00000000012</v>
      </c>
      <c r="F26" s="27"/>
      <c r="G26" s="95">
        <f>'RAB Penyelenggaraan Pem'!I53*5</f>
        <v>291200.00000000006</v>
      </c>
      <c r="H26" s="450">
        <f t="shared" si="0"/>
        <v>291200.00000000006</v>
      </c>
      <c r="I26" s="451">
        <f t="shared" si="1"/>
        <v>407680.00000000006</v>
      </c>
    </row>
    <row r="27" spans="3:9">
      <c r="C27" s="94"/>
      <c r="D27" s="452" t="s">
        <v>391</v>
      </c>
      <c r="E27" s="179">
        <f>'RAB Penyelenggaraan Pem'!J54</f>
        <v>698880.00000000012</v>
      </c>
      <c r="F27" s="27"/>
      <c r="G27" s="95">
        <f>'RAB Penyelenggaraan Pem'!I54*5</f>
        <v>291200.00000000006</v>
      </c>
      <c r="H27" s="450">
        <f t="shared" si="0"/>
        <v>291200.00000000006</v>
      </c>
      <c r="I27" s="451">
        <f t="shared" si="1"/>
        <v>407680.00000000006</v>
      </c>
    </row>
    <row r="28" spans="3:9">
      <c r="C28" s="94"/>
      <c r="D28" s="452" t="s">
        <v>392</v>
      </c>
      <c r="E28" s="179">
        <f>'RAB Penyelenggaraan Pem'!J55</f>
        <v>698880.00000000012</v>
      </c>
      <c r="F28" s="27"/>
      <c r="G28" s="95">
        <f>'RAB Penyelenggaraan Pem'!I55*5</f>
        <v>291200.00000000006</v>
      </c>
      <c r="H28" s="450">
        <f t="shared" si="0"/>
        <v>291200.00000000006</v>
      </c>
      <c r="I28" s="451">
        <f t="shared" si="1"/>
        <v>407680.00000000006</v>
      </c>
    </row>
    <row r="29" spans="3:9">
      <c r="C29" s="94"/>
      <c r="D29" s="452" t="s">
        <v>378</v>
      </c>
      <c r="E29" s="179">
        <f>'RAB Penyelenggaraan Pem'!J56</f>
        <v>3244800</v>
      </c>
      <c r="F29" s="27"/>
      <c r="G29" s="95">
        <f>'RAB Penyelenggaraan Pem'!I56*5*5</f>
        <v>1352000</v>
      </c>
      <c r="H29" s="450">
        <f t="shared" si="0"/>
        <v>1352000</v>
      </c>
      <c r="I29" s="451">
        <f t="shared" si="1"/>
        <v>1892800</v>
      </c>
    </row>
    <row r="30" spans="3:9">
      <c r="C30" s="94"/>
      <c r="D30" s="452" t="s">
        <v>379</v>
      </c>
      <c r="E30" s="179">
        <f>'RAB Penyelenggaraan Pem'!J57</f>
        <v>1872000</v>
      </c>
      <c r="F30" s="27"/>
      <c r="G30" s="95">
        <f>'RAB Penyelenggaraan Pem'!I57*3*5</f>
        <v>780000</v>
      </c>
      <c r="H30" s="450">
        <f t="shared" si="0"/>
        <v>780000</v>
      </c>
      <c r="I30" s="451">
        <f t="shared" si="1"/>
        <v>1092000</v>
      </c>
    </row>
    <row r="31" spans="3:9">
      <c r="C31" s="94"/>
      <c r="D31" s="453" t="s">
        <v>380</v>
      </c>
      <c r="E31" s="179">
        <f>'RAB Penyelenggaraan Pem'!J58</f>
        <v>873600</v>
      </c>
      <c r="F31" s="27"/>
      <c r="G31" s="95">
        <f>'RAB Penyelenggaraan Pem'!I58*2*5</f>
        <v>364000</v>
      </c>
      <c r="H31" s="450">
        <f t="shared" si="0"/>
        <v>364000</v>
      </c>
      <c r="I31" s="451">
        <f t="shared" si="1"/>
        <v>509600</v>
      </c>
    </row>
    <row r="32" spans="3:9">
      <c r="C32" s="94"/>
      <c r="D32" s="454" t="s">
        <v>381</v>
      </c>
      <c r="E32" s="179">
        <f>'RAB Penyelenggaraan Pem'!J59</f>
        <v>698880.00000000012</v>
      </c>
      <c r="F32" s="27"/>
      <c r="G32" s="95">
        <f>'RAB Penyelenggaraan Pem'!I59*2*5</f>
        <v>291200.00000000006</v>
      </c>
      <c r="H32" s="450">
        <f t="shared" si="0"/>
        <v>291200.00000000006</v>
      </c>
      <c r="I32" s="451">
        <f t="shared" si="1"/>
        <v>407680.00000000006</v>
      </c>
    </row>
    <row r="33" spans="3:9">
      <c r="C33" s="94"/>
      <c r="D33" s="454" t="s">
        <v>393</v>
      </c>
      <c r="E33" s="179">
        <f>'RAB Penyelenggaraan Pem'!J60</f>
        <v>673920</v>
      </c>
      <c r="F33" s="27"/>
      <c r="G33" s="95">
        <f>'RAB Penyelenggaraan Pem'!I60*2*5</f>
        <v>280800</v>
      </c>
      <c r="H33" s="450">
        <f t="shared" si="0"/>
        <v>280800</v>
      </c>
      <c r="I33" s="451">
        <f t="shared" si="1"/>
        <v>393120</v>
      </c>
    </row>
    <row r="34" spans="3:9">
      <c r="C34" s="94"/>
      <c r="D34" s="454" t="s">
        <v>382</v>
      </c>
      <c r="E34" s="179">
        <f>'RAB Penyelenggaraan Pem'!J61</f>
        <v>1048320.0000000001</v>
      </c>
      <c r="F34" s="27"/>
      <c r="G34" s="95">
        <f>'RAB Penyelenggaraan Pem'!I61*3*5</f>
        <v>436800.00000000006</v>
      </c>
      <c r="H34" s="450">
        <f t="shared" si="0"/>
        <v>436800.00000000006</v>
      </c>
      <c r="I34" s="451">
        <f t="shared" si="1"/>
        <v>611520</v>
      </c>
    </row>
    <row r="35" spans="3:9">
      <c r="C35" s="94"/>
      <c r="D35" s="454" t="s">
        <v>383</v>
      </c>
      <c r="E35" s="179">
        <f>'RAB Penyelenggaraan Pem'!J62</f>
        <v>1048320.0000000001</v>
      </c>
      <c r="F35" s="27"/>
      <c r="G35" s="95">
        <f>'RAB Penyelenggaraan Pem'!I62*3*5</f>
        <v>436800.00000000006</v>
      </c>
      <c r="H35" s="450">
        <f t="shared" si="0"/>
        <v>436800.00000000006</v>
      </c>
      <c r="I35" s="451">
        <f t="shared" si="1"/>
        <v>611520</v>
      </c>
    </row>
    <row r="36" spans="3:9">
      <c r="C36" s="94"/>
      <c r="D36" s="454" t="s">
        <v>384</v>
      </c>
      <c r="E36" s="179">
        <f>'RAB Penyelenggaraan Pem'!J63</f>
        <v>698880.00000000012</v>
      </c>
      <c r="F36" s="27"/>
      <c r="G36" s="95">
        <f>'RAB Penyelenggaraan Pem'!I63*2*5</f>
        <v>291200.00000000006</v>
      </c>
      <c r="H36" s="450">
        <f t="shared" si="0"/>
        <v>291200.00000000006</v>
      </c>
      <c r="I36" s="451">
        <f t="shared" si="1"/>
        <v>407680.00000000006</v>
      </c>
    </row>
    <row r="37" spans="3:9">
      <c r="C37" s="94"/>
      <c r="D37" s="454" t="s">
        <v>385</v>
      </c>
      <c r="E37" s="179">
        <f>'RAB Penyelenggaraan Pem'!J64</f>
        <v>648960</v>
      </c>
      <c r="F37" s="27"/>
      <c r="G37" s="95">
        <f>'RAB Penyelenggaraan Pem'!I64*2*5</f>
        <v>270400</v>
      </c>
      <c r="H37" s="450">
        <f t="shared" si="0"/>
        <v>270400</v>
      </c>
      <c r="I37" s="451">
        <f t="shared" si="1"/>
        <v>378560</v>
      </c>
    </row>
    <row r="38" spans="3:9">
      <c r="C38" s="94"/>
      <c r="D38" s="454" t="s">
        <v>386</v>
      </c>
      <c r="E38" s="179">
        <f>'RAB Penyelenggaraan Pem'!J65</f>
        <v>648960</v>
      </c>
      <c r="F38" s="27"/>
      <c r="G38" s="95">
        <f>'RAB Penyelenggaraan Pem'!I65*2*5</f>
        <v>270400</v>
      </c>
      <c r="H38" s="450">
        <f t="shared" si="0"/>
        <v>270400</v>
      </c>
      <c r="I38" s="451">
        <f t="shared" si="1"/>
        <v>378560</v>
      </c>
    </row>
    <row r="39" spans="3:9">
      <c r="C39" s="386"/>
      <c r="D39" s="454" t="s">
        <v>387</v>
      </c>
      <c r="E39" s="179">
        <f>'RAB Penyelenggaraan Pem'!J66</f>
        <v>973440</v>
      </c>
      <c r="F39" s="27"/>
      <c r="G39" s="95">
        <f>'RAB Penyelenggaraan Pem'!I66*3*5</f>
        <v>405600</v>
      </c>
      <c r="H39" s="450">
        <f t="shared" si="0"/>
        <v>405600</v>
      </c>
      <c r="I39" s="451">
        <f t="shared" si="1"/>
        <v>567840</v>
      </c>
    </row>
    <row r="40" spans="3:9" ht="15" customHeight="1">
      <c r="C40" s="386"/>
      <c r="D40" s="455" t="s">
        <v>672</v>
      </c>
      <c r="E40" s="179">
        <f>'RAB Penyelenggaraan Pem'!J67</f>
        <v>648960</v>
      </c>
      <c r="F40" s="27"/>
      <c r="G40" s="92">
        <f>'RAB Penyelenggaraan Pem'!I67*2*5</f>
        <v>270400</v>
      </c>
      <c r="H40" s="450">
        <f t="shared" si="0"/>
        <v>270400</v>
      </c>
      <c r="I40" s="451">
        <f t="shared" si="1"/>
        <v>378560</v>
      </c>
    </row>
    <row r="41" spans="3:9">
      <c r="C41" s="27"/>
      <c r="D41" s="453" t="s">
        <v>389</v>
      </c>
      <c r="E41" s="179">
        <f>'RAB Penyelenggaraan Pem'!J68</f>
        <v>324480</v>
      </c>
      <c r="F41" s="27"/>
      <c r="G41" s="399">
        <f>'RAB Penyelenggaraan Pem'!I68*1*5</f>
        <v>135200</v>
      </c>
      <c r="H41" s="450">
        <f t="shared" si="0"/>
        <v>135200</v>
      </c>
      <c r="I41" s="451">
        <f t="shared" si="1"/>
        <v>189280</v>
      </c>
    </row>
    <row r="42" spans="3:9" ht="24">
      <c r="C42" s="27"/>
      <c r="D42" s="387" t="s">
        <v>25</v>
      </c>
      <c r="E42" s="265">
        <f>SUM(E43:E51)</f>
        <v>5508000</v>
      </c>
      <c r="F42" s="471">
        <f>SUM(F43:F51)</f>
        <v>0</v>
      </c>
      <c r="G42" s="265">
        <f>SUM(G43:G51)</f>
        <v>2295000</v>
      </c>
      <c r="H42" s="465">
        <f t="shared" si="0"/>
        <v>2295000</v>
      </c>
      <c r="I42" s="472">
        <f t="shared" si="1"/>
        <v>3213000</v>
      </c>
    </row>
    <row r="43" spans="3:9">
      <c r="C43" s="27"/>
      <c r="D43" s="453" t="s">
        <v>71</v>
      </c>
      <c r="E43" s="179">
        <v>612000</v>
      </c>
      <c r="F43" s="27">
        <v>0</v>
      </c>
      <c r="G43" s="399">
        <f>51000*5</f>
        <v>255000</v>
      </c>
      <c r="H43" s="450">
        <f t="shared" si="0"/>
        <v>255000</v>
      </c>
      <c r="I43" s="451">
        <f t="shared" si="1"/>
        <v>357000</v>
      </c>
    </row>
    <row r="44" spans="3:9">
      <c r="C44" s="27"/>
      <c r="D44" s="453" t="s">
        <v>181</v>
      </c>
      <c r="E44" s="179">
        <v>612000</v>
      </c>
      <c r="F44" s="27"/>
      <c r="G44" s="399">
        <f t="shared" ref="G44:G51" si="2">51000*5</f>
        <v>255000</v>
      </c>
      <c r="H44" s="450">
        <f t="shared" si="0"/>
        <v>255000</v>
      </c>
      <c r="I44" s="451">
        <f t="shared" si="1"/>
        <v>357000</v>
      </c>
    </row>
    <row r="45" spans="3:9">
      <c r="C45" s="27"/>
      <c r="D45" s="453" t="s">
        <v>668</v>
      </c>
      <c r="E45" s="179">
        <v>612000</v>
      </c>
      <c r="F45" s="27"/>
      <c r="G45" s="399">
        <f t="shared" si="2"/>
        <v>255000</v>
      </c>
      <c r="H45" s="450">
        <f t="shared" si="0"/>
        <v>255000</v>
      </c>
      <c r="I45" s="451">
        <f t="shared" si="1"/>
        <v>357000</v>
      </c>
    </row>
    <row r="46" spans="3:9">
      <c r="C46" s="27"/>
      <c r="D46" s="453" t="s">
        <v>200</v>
      </c>
      <c r="E46" s="179">
        <v>612000</v>
      </c>
      <c r="F46" s="27"/>
      <c r="G46" s="399">
        <f t="shared" si="2"/>
        <v>255000</v>
      </c>
      <c r="H46" s="450">
        <f t="shared" si="0"/>
        <v>255000</v>
      </c>
      <c r="I46" s="451">
        <f t="shared" si="1"/>
        <v>357000</v>
      </c>
    </row>
    <row r="47" spans="3:9">
      <c r="C47" s="27"/>
      <c r="D47" s="453" t="s">
        <v>201</v>
      </c>
      <c r="E47" s="179">
        <v>612000</v>
      </c>
      <c r="F47" s="27"/>
      <c r="G47" s="399">
        <f t="shared" si="2"/>
        <v>255000</v>
      </c>
      <c r="H47" s="450">
        <f t="shared" si="0"/>
        <v>255000</v>
      </c>
      <c r="I47" s="451">
        <f t="shared" si="1"/>
        <v>357000</v>
      </c>
    </row>
    <row r="48" spans="3:9">
      <c r="C48" s="27"/>
      <c r="D48" s="453" t="s">
        <v>675</v>
      </c>
      <c r="E48" s="179">
        <v>612000</v>
      </c>
      <c r="F48" s="27"/>
      <c r="G48" s="399">
        <f t="shared" si="2"/>
        <v>255000</v>
      </c>
      <c r="H48" s="450">
        <f t="shared" si="0"/>
        <v>255000</v>
      </c>
      <c r="I48" s="451">
        <f t="shared" si="1"/>
        <v>357000</v>
      </c>
    </row>
    <row r="49" spans="2:11">
      <c r="C49" s="27"/>
      <c r="D49" s="453" t="s">
        <v>676</v>
      </c>
      <c r="E49" s="179">
        <v>612000</v>
      </c>
      <c r="F49" s="27"/>
      <c r="G49" s="399">
        <f t="shared" si="2"/>
        <v>255000</v>
      </c>
      <c r="H49" s="450">
        <f t="shared" si="0"/>
        <v>255000</v>
      </c>
      <c r="I49" s="451">
        <f t="shared" si="1"/>
        <v>357000</v>
      </c>
    </row>
    <row r="50" spans="2:11">
      <c r="C50" s="27"/>
      <c r="D50" s="453" t="s">
        <v>677</v>
      </c>
      <c r="E50" s="179">
        <v>612000</v>
      </c>
      <c r="F50" s="27"/>
      <c r="G50" s="399">
        <f t="shared" si="2"/>
        <v>255000</v>
      </c>
      <c r="H50" s="450">
        <f t="shared" si="0"/>
        <v>255000</v>
      </c>
      <c r="I50" s="451">
        <f t="shared" si="1"/>
        <v>357000</v>
      </c>
    </row>
    <row r="51" spans="2:11">
      <c r="C51" s="27"/>
      <c r="D51" s="453" t="s">
        <v>687</v>
      </c>
      <c r="E51" s="179">
        <v>612000</v>
      </c>
      <c r="F51" s="27"/>
      <c r="G51" s="399">
        <f t="shared" si="2"/>
        <v>255000</v>
      </c>
      <c r="H51" s="450">
        <f t="shared" si="0"/>
        <v>255000</v>
      </c>
      <c r="I51" s="451">
        <f t="shared" si="1"/>
        <v>357000</v>
      </c>
    </row>
    <row r="52" spans="2:11">
      <c r="C52" s="27"/>
      <c r="D52" s="453"/>
      <c r="E52" s="179"/>
      <c r="F52" s="27"/>
      <c r="G52" s="399"/>
      <c r="H52" s="95"/>
      <c r="I52" s="470"/>
      <c r="K52" s="29" t="s">
        <v>23</v>
      </c>
    </row>
    <row r="53" spans="2:11">
      <c r="C53" s="27"/>
      <c r="D53" s="453"/>
      <c r="E53" s="179"/>
      <c r="F53" s="27"/>
      <c r="G53" s="399"/>
      <c r="H53" s="95"/>
      <c r="I53" s="470"/>
    </row>
    <row r="54" spans="2:11">
      <c r="C54" s="27"/>
      <c r="D54" s="453"/>
      <c r="E54" s="179"/>
      <c r="F54" s="27"/>
      <c r="G54" s="399"/>
      <c r="H54" s="95"/>
      <c r="I54" s="470"/>
    </row>
    <row r="55" spans="2:11">
      <c r="C55" s="27"/>
      <c r="D55" s="453" t="s">
        <v>75</v>
      </c>
      <c r="E55" s="467">
        <f>SUM(E13+E21+E42)</f>
        <v>260998560</v>
      </c>
      <c r="F55" s="27"/>
      <c r="G55" s="467">
        <f>SUM(G13+G21+G42)</f>
        <v>108749400</v>
      </c>
      <c r="H55" s="468">
        <f>SUM(H13+H21+H42)</f>
        <v>108749400</v>
      </c>
      <c r="I55" s="469">
        <f t="shared" si="1"/>
        <v>152249160</v>
      </c>
    </row>
    <row r="56" spans="2:11">
      <c r="C56" s="456"/>
      <c r="D56" s="457"/>
      <c r="E56" s="458"/>
      <c r="F56" s="456"/>
      <c r="G56" s="459"/>
      <c r="H56" s="460"/>
      <c r="I56" s="461"/>
    </row>
    <row r="57" spans="2:11" ht="40.5" customHeight="1">
      <c r="C57" s="840" t="s">
        <v>587</v>
      </c>
      <c r="D57" s="840"/>
      <c r="E57" s="377" t="s">
        <v>586</v>
      </c>
      <c r="G57" s="404" t="s">
        <v>585</v>
      </c>
      <c r="I57" s="366" t="s">
        <v>77</v>
      </c>
    </row>
    <row r="58" spans="2:11">
      <c r="D58" s="358"/>
      <c r="E58" s="274"/>
      <c r="G58" s="405"/>
      <c r="I58" s="362"/>
    </row>
    <row r="59" spans="2:11">
      <c r="D59" s="358"/>
    </row>
    <row r="60" spans="2:11">
      <c r="D60" s="358"/>
    </row>
    <row r="61" spans="2:11">
      <c r="C61" s="984" t="s">
        <v>51</v>
      </c>
      <c r="D61" s="984"/>
      <c r="E61" s="272" t="s">
        <v>115</v>
      </c>
      <c r="G61" s="406" t="s">
        <v>673</v>
      </c>
      <c r="I61" s="444" t="s">
        <v>188</v>
      </c>
    </row>
    <row r="63" spans="2:11">
      <c r="E63" s="362"/>
      <c r="F63" s="405"/>
      <c r="G63" s="405"/>
      <c r="H63" s="405"/>
    </row>
    <row r="64" spans="2:11" ht="15.75">
      <c r="B64" s="993" t="s">
        <v>171</v>
      </c>
      <c r="C64" s="993"/>
      <c r="D64" s="993"/>
      <c r="E64" s="993"/>
      <c r="F64" s="993"/>
      <c r="G64" s="993"/>
      <c r="H64" s="993"/>
      <c r="I64" s="993"/>
    </row>
    <row r="65" spans="2:9" ht="15.75">
      <c r="B65" s="994" t="s">
        <v>55</v>
      </c>
      <c r="C65" s="994"/>
      <c r="D65" s="994"/>
      <c r="E65" s="994"/>
      <c r="F65" s="994"/>
      <c r="G65" s="994"/>
      <c r="H65" s="994"/>
      <c r="I65" s="994"/>
    </row>
    <row r="66" spans="2:9" ht="15.75">
      <c r="B66" s="994" t="s">
        <v>53</v>
      </c>
      <c r="C66" s="994"/>
      <c r="D66" s="994"/>
      <c r="E66" s="994"/>
      <c r="F66" s="994"/>
      <c r="G66" s="994"/>
      <c r="H66" s="994"/>
      <c r="I66" s="994"/>
    </row>
    <row r="67" spans="2:9">
      <c r="B67" s="362">
        <v>1</v>
      </c>
      <c r="C67" s="986" t="s">
        <v>172</v>
      </c>
      <c r="D67" s="986"/>
      <c r="E67" s="29" t="s">
        <v>474</v>
      </c>
    </row>
    <row r="68" spans="2:9" ht="28.5" customHeight="1">
      <c r="B68" s="367">
        <v>2</v>
      </c>
      <c r="C68" s="987" t="s">
        <v>173</v>
      </c>
      <c r="D68" s="987"/>
      <c r="E68" s="992" t="s">
        <v>476</v>
      </c>
      <c r="F68" s="992"/>
      <c r="G68" s="992"/>
      <c r="H68" s="992"/>
      <c r="I68" s="992"/>
    </row>
    <row r="69" spans="2:9">
      <c r="B69" s="362">
        <v>3</v>
      </c>
      <c r="C69" s="986" t="s">
        <v>174</v>
      </c>
      <c r="D69" s="986"/>
      <c r="E69" s="29" t="s">
        <v>186</v>
      </c>
    </row>
    <row r="70" spans="2:9">
      <c r="B70" s="362">
        <v>4</v>
      </c>
      <c r="C70" s="378" t="s">
        <v>183</v>
      </c>
      <c r="D70" s="378"/>
      <c r="E70" s="29" t="s">
        <v>213</v>
      </c>
    </row>
    <row r="71" spans="2:9">
      <c r="B71" s="362">
        <v>5</v>
      </c>
      <c r="C71" s="378" t="s">
        <v>184</v>
      </c>
      <c r="D71" s="378"/>
      <c r="E71" s="32" t="s">
        <v>583</v>
      </c>
      <c r="F71" s="251">
        <f>RABPembangunan!F295</f>
        <v>0</v>
      </c>
    </row>
    <row r="72" spans="2:9">
      <c r="B72" s="362">
        <v>6</v>
      </c>
      <c r="C72" s="378" t="s">
        <v>185</v>
      </c>
      <c r="D72" s="378"/>
      <c r="E72" s="29" t="s">
        <v>189</v>
      </c>
    </row>
    <row r="73" spans="2:9" ht="15.75">
      <c r="C73" s="364" t="s">
        <v>175</v>
      </c>
    </row>
    <row r="74" spans="2:9" ht="36">
      <c r="C74" s="988" t="s">
        <v>56</v>
      </c>
      <c r="D74" s="990" t="s">
        <v>0</v>
      </c>
      <c r="E74" s="391" t="s">
        <v>176</v>
      </c>
      <c r="F74" s="401" t="s">
        <v>177</v>
      </c>
      <c r="G74" s="401" t="s">
        <v>178</v>
      </c>
      <c r="H74" s="401" t="s">
        <v>179</v>
      </c>
      <c r="I74" s="391" t="s">
        <v>180</v>
      </c>
    </row>
    <row r="75" spans="2:9">
      <c r="C75" s="989"/>
      <c r="D75" s="991"/>
      <c r="E75" s="392" t="s">
        <v>52</v>
      </c>
      <c r="F75" s="402" t="s">
        <v>52</v>
      </c>
      <c r="G75" s="402" t="s">
        <v>52</v>
      </c>
      <c r="H75" s="402" t="s">
        <v>52</v>
      </c>
      <c r="I75" s="392" t="s">
        <v>52</v>
      </c>
    </row>
    <row r="76" spans="2:9">
      <c r="C76" s="388">
        <v>1</v>
      </c>
      <c r="D76" s="389">
        <v>2</v>
      </c>
      <c r="E76" s="390">
        <v>3</v>
      </c>
      <c r="F76" s="402">
        <v>4</v>
      </c>
      <c r="G76" s="407">
        <v>5</v>
      </c>
      <c r="H76" s="407">
        <v>6</v>
      </c>
      <c r="I76" s="324">
        <v>7</v>
      </c>
    </row>
    <row r="77" spans="2:9" ht="24" customHeight="1">
      <c r="C77" s="86" t="s">
        <v>411</v>
      </c>
      <c r="D77" s="376" t="s">
        <v>139</v>
      </c>
      <c r="E77" s="387"/>
      <c r="F77" s="408"/>
      <c r="G77" s="399"/>
      <c r="H77" s="399"/>
      <c r="I77" s="397"/>
    </row>
    <row r="78" spans="2:9" ht="27" customHeight="1">
      <c r="C78" s="86" t="s">
        <v>415</v>
      </c>
      <c r="D78" s="373" t="s">
        <v>479</v>
      </c>
      <c r="E78" s="373"/>
      <c r="F78" s="384"/>
      <c r="G78" s="399"/>
      <c r="H78" s="399"/>
      <c r="I78" s="397"/>
    </row>
    <row r="79" spans="2:9">
      <c r="C79" s="88">
        <v>2</v>
      </c>
      <c r="D79" s="373" t="s">
        <v>34</v>
      </c>
      <c r="E79" s="384" t="e">
        <f>SUM(E80+E81+E88+E89+E90)</f>
        <v>#REF!</v>
      </c>
      <c r="F79" s="384">
        <f>F80+F81+F88+F89+F90</f>
        <v>0</v>
      </c>
      <c r="G79" s="398">
        <f>SUM(G80+G81+G88+G89+G90)</f>
        <v>7050000</v>
      </c>
      <c r="H79" s="398">
        <f>SUM(H80+H81+H88+H89+H90)</f>
        <v>7050000</v>
      </c>
      <c r="I79" s="398" t="e">
        <f>SUM(I80+I81+I88+I89+I90)</f>
        <v>#REF!</v>
      </c>
    </row>
    <row r="80" spans="2:9">
      <c r="C80" s="91"/>
      <c r="D80" s="374" t="s">
        <v>214</v>
      </c>
      <c r="E80" s="379">
        <f>RABPembangunan!J304</f>
        <v>1980000</v>
      </c>
      <c r="F80" s="379"/>
      <c r="G80" s="399">
        <v>500000</v>
      </c>
      <c r="H80" s="399">
        <f>F80+G80</f>
        <v>500000</v>
      </c>
      <c r="I80" s="399">
        <f t="shared" ref="I80:I90" si="3">E80-H80</f>
        <v>1480000</v>
      </c>
    </row>
    <row r="81" spans="3:9">
      <c r="C81" s="91"/>
      <c r="D81" s="375" t="s">
        <v>41</v>
      </c>
      <c r="E81" s="381" t="e">
        <f>SUM(E82:E87)</f>
        <v>#REF!</v>
      </c>
      <c r="F81" s="380"/>
      <c r="G81" s="399">
        <f>SUM(G82:G87)</f>
        <v>0</v>
      </c>
      <c r="H81" s="399">
        <f>SUM(H82:H87)</f>
        <v>0</v>
      </c>
      <c r="I81" s="399" t="e">
        <f t="shared" si="3"/>
        <v>#REF!</v>
      </c>
    </row>
    <row r="82" spans="3:9">
      <c r="C82" s="91"/>
      <c r="D82" s="370" t="s">
        <v>207</v>
      </c>
      <c r="E82" s="383">
        <f>RABPembangunan!J306</f>
        <v>660000</v>
      </c>
      <c r="F82" s="383"/>
      <c r="G82" s="399">
        <v>0</v>
      </c>
      <c r="H82" s="399">
        <f>F82+G82</f>
        <v>0</v>
      </c>
      <c r="I82" s="399">
        <f t="shared" si="3"/>
        <v>660000</v>
      </c>
    </row>
    <row r="83" spans="3:9">
      <c r="C83" s="91"/>
      <c r="D83" s="370" t="s">
        <v>208</v>
      </c>
      <c r="E83" s="383">
        <f>RABPembangunan!J307</f>
        <v>300000</v>
      </c>
      <c r="F83" s="383"/>
      <c r="G83" s="399">
        <v>0</v>
      </c>
      <c r="H83" s="399">
        <f t="shared" ref="H83:H90" si="4">F83+G83</f>
        <v>0</v>
      </c>
      <c r="I83" s="399">
        <f t="shared" si="3"/>
        <v>300000</v>
      </c>
    </row>
    <row r="84" spans="3:9">
      <c r="C84" s="91"/>
      <c r="D84" s="370" t="s">
        <v>209</v>
      </c>
      <c r="E84" s="383">
        <f>RABPembangunan!J308</f>
        <v>3750000</v>
      </c>
      <c r="F84" s="383"/>
      <c r="G84" s="399">
        <v>0</v>
      </c>
      <c r="H84" s="399">
        <f t="shared" si="4"/>
        <v>0</v>
      </c>
      <c r="I84" s="399">
        <f t="shared" si="3"/>
        <v>3750000</v>
      </c>
    </row>
    <row r="85" spans="3:9">
      <c r="C85" s="91"/>
      <c r="D85" s="370" t="s">
        <v>210</v>
      </c>
      <c r="E85" s="383" t="e">
        <f>RABPembangunan!#REF!</f>
        <v>#REF!</v>
      </c>
      <c r="F85" s="383"/>
      <c r="G85" s="399">
        <v>0</v>
      </c>
      <c r="H85" s="399">
        <f t="shared" si="4"/>
        <v>0</v>
      </c>
      <c r="I85" s="399" t="e">
        <f t="shared" si="3"/>
        <v>#REF!</v>
      </c>
    </row>
    <row r="86" spans="3:9">
      <c r="C86" s="91"/>
      <c r="D86" s="370" t="s">
        <v>211</v>
      </c>
      <c r="E86" s="383" t="e">
        <f>RABPembangunan!#REF!</f>
        <v>#REF!</v>
      </c>
      <c r="F86" s="383"/>
      <c r="G86" s="399">
        <v>0</v>
      </c>
      <c r="H86" s="399">
        <f t="shared" si="4"/>
        <v>0</v>
      </c>
      <c r="I86" s="399" t="e">
        <f t="shared" si="3"/>
        <v>#REF!</v>
      </c>
    </row>
    <row r="87" spans="3:9">
      <c r="C87" s="91"/>
      <c r="D87" s="370" t="s">
        <v>212</v>
      </c>
      <c r="E87" s="383" t="e">
        <f>RABPembangunan!#REF!</f>
        <v>#REF!</v>
      </c>
      <c r="F87" s="383"/>
      <c r="G87" s="399">
        <v>0</v>
      </c>
      <c r="H87" s="399">
        <f t="shared" si="4"/>
        <v>0</v>
      </c>
      <c r="I87" s="399" t="e">
        <f t="shared" si="3"/>
        <v>#REF!</v>
      </c>
    </row>
    <row r="88" spans="3:9">
      <c r="C88" s="91"/>
      <c r="D88" s="371" t="s">
        <v>215</v>
      </c>
      <c r="E88" s="381">
        <f>RABPembangunan!J309</f>
        <v>308000</v>
      </c>
      <c r="F88" s="382"/>
      <c r="G88" s="399">
        <v>200000</v>
      </c>
      <c r="H88" s="399">
        <f t="shared" si="4"/>
        <v>200000</v>
      </c>
      <c r="I88" s="399">
        <f t="shared" si="3"/>
        <v>108000</v>
      </c>
    </row>
    <row r="89" spans="3:9">
      <c r="C89" s="91"/>
      <c r="D89" s="371" t="s">
        <v>216</v>
      </c>
      <c r="E89" s="381">
        <f>RABPembangunan!J310</f>
        <v>384000</v>
      </c>
      <c r="F89" s="382"/>
      <c r="G89" s="399">
        <v>50000</v>
      </c>
      <c r="H89" s="399">
        <f t="shared" si="4"/>
        <v>50000</v>
      </c>
      <c r="I89" s="399">
        <f t="shared" si="3"/>
        <v>334000</v>
      </c>
    </row>
    <row r="90" spans="3:9">
      <c r="C90" s="94"/>
      <c r="D90" s="371" t="s">
        <v>480</v>
      </c>
      <c r="E90" s="381">
        <f>RABPembangunan!J312</f>
        <v>16100</v>
      </c>
      <c r="F90" s="382"/>
      <c r="G90" s="399">
        <v>6300000</v>
      </c>
      <c r="H90" s="399">
        <f t="shared" si="4"/>
        <v>6300000</v>
      </c>
      <c r="I90" s="399">
        <f t="shared" si="3"/>
        <v>-6283900</v>
      </c>
    </row>
    <row r="91" spans="3:9">
      <c r="C91" s="96">
        <v>3</v>
      </c>
      <c r="D91" s="372" t="s">
        <v>32</v>
      </c>
      <c r="E91" s="90" t="e">
        <f>SUM(E92:E97)</f>
        <v>#REF!</v>
      </c>
      <c r="F91" s="90">
        <f>SUM(F92:F97)</f>
        <v>0</v>
      </c>
      <c r="G91" s="398">
        <f>SUM(G92:G97)</f>
        <v>16673000</v>
      </c>
      <c r="H91" s="398">
        <f>SUM(H92:H97)</f>
        <v>16673000</v>
      </c>
      <c r="I91" s="398" t="e">
        <f>SUM(I92:I97)</f>
        <v>#REF!</v>
      </c>
    </row>
    <row r="92" spans="3:9">
      <c r="C92" s="94"/>
      <c r="D92" s="370" t="s">
        <v>482</v>
      </c>
      <c r="E92" s="383">
        <f>RABPembangunan!J320</f>
        <v>2483400</v>
      </c>
      <c r="F92" s="383"/>
      <c r="G92" s="399">
        <v>1540000</v>
      </c>
      <c r="H92" s="399">
        <f t="shared" ref="H92:H97" si="5">F92+G92</f>
        <v>1540000</v>
      </c>
      <c r="I92" s="399">
        <f>E92-H92</f>
        <v>943400</v>
      </c>
    </row>
    <row r="93" spans="3:9">
      <c r="C93" s="94"/>
      <c r="D93" s="370" t="s">
        <v>220</v>
      </c>
      <c r="E93" s="383">
        <f>RABPembangunan!J321</f>
        <v>150000</v>
      </c>
      <c r="F93" s="383"/>
      <c r="G93" s="399">
        <v>6720000</v>
      </c>
      <c r="H93" s="399">
        <f t="shared" si="5"/>
        <v>6720000</v>
      </c>
      <c r="I93" s="399">
        <f>E93-G93</f>
        <v>-6570000</v>
      </c>
    </row>
    <row r="94" spans="3:9">
      <c r="C94" s="94"/>
      <c r="D94" s="370" t="s">
        <v>481</v>
      </c>
      <c r="E94" s="383">
        <f>RABPembangunan!J322</f>
        <v>50000</v>
      </c>
      <c r="F94" s="383"/>
      <c r="G94" s="399">
        <v>1500000</v>
      </c>
      <c r="H94" s="399">
        <f t="shared" si="5"/>
        <v>1500000</v>
      </c>
      <c r="I94" s="399">
        <f>E94-G94</f>
        <v>-1450000</v>
      </c>
    </row>
    <row r="95" spans="3:9">
      <c r="C95" s="94"/>
      <c r="D95" s="370" t="s">
        <v>477</v>
      </c>
      <c r="E95" s="383" t="e">
        <f>RABPembangunan!#REF!</f>
        <v>#REF!</v>
      </c>
      <c r="F95" s="383"/>
      <c r="G95" s="399">
        <v>5325000</v>
      </c>
      <c r="H95" s="399">
        <f t="shared" si="5"/>
        <v>5325000</v>
      </c>
      <c r="I95" s="399" t="e">
        <f>E95-G95</f>
        <v>#REF!</v>
      </c>
    </row>
    <row r="96" spans="3:9">
      <c r="C96" s="94"/>
      <c r="D96" s="370" t="s">
        <v>483</v>
      </c>
      <c r="E96" s="383" t="e">
        <f>RABPembangunan!#REF!</f>
        <v>#REF!</v>
      </c>
      <c r="F96" s="383"/>
      <c r="G96" s="399">
        <v>1400000</v>
      </c>
      <c r="H96" s="399">
        <f t="shared" si="5"/>
        <v>1400000</v>
      </c>
      <c r="I96" s="399" t="e">
        <f>E96-G96</f>
        <v>#REF!</v>
      </c>
    </row>
    <row r="97" spans="3:9">
      <c r="C97" s="94"/>
      <c r="D97" s="368" t="s">
        <v>484</v>
      </c>
      <c r="E97" s="383" t="e">
        <f>RABPembangunan!#REF!</f>
        <v>#REF!</v>
      </c>
      <c r="F97" s="403"/>
      <c r="G97" s="399">
        <v>188000</v>
      </c>
      <c r="H97" s="399">
        <f t="shared" si="5"/>
        <v>188000</v>
      </c>
      <c r="I97" s="399" t="e">
        <f>E97-G97</f>
        <v>#REF!</v>
      </c>
    </row>
    <row r="98" spans="3:9">
      <c r="C98" s="101"/>
      <c r="D98" s="369" t="s">
        <v>221</v>
      </c>
      <c r="E98" s="396" t="e">
        <f>SUM(E79+E91)</f>
        <v>#REF!</v>
      </c>
      <c r="F98" s="395">
        <f>F79+F91</f>
        <v>0</v>
      </c>
      <c r="G98" s="398">
        <f>G79+G91</f>
        <v>23723000</v>
      </c>
      <c r="H98" s="398">
        <f>H79+H91</f>
        <v>23723000</v>
      </c>
      <c r="I98" s="398" t="e">
        <f>SUM(I79+I91)</f>
        <v>#REF!</v>
      </c>
    </row>
    <row r="99" spans="3:9">
      <c r="I99" s="365" t="s">
        <v>584</v>
      </c>
    </row>
    <row r="100" spans="3:9" ht="36.75" customHeight="1">
      <c r="C100" s="840" t="s">
        <v>587</v>
      </c>
      <c r="D100" s="840"/>
      <c r="E100" s="377" t="s">
        <v>586</v>
      </c>
      <c r="G100" s="404" t="s">
        <v>585</v>
      </c>
      <c r="I100" s="366" t="s">
        <v>77</v>
      </c>
    </row>
    <row r="101" spans="3:9">
      <c r="D101" s="367"/>
      <c r="E101" s="274"/>
      <c r="G101" s="405"/>
      <c r="I101" s="362"/>
    </row>
    <row r="102" spans="3:9">
      <c r="D102" s="367"/>
    </row>
    <row r="103" spans="3:9">
      <c r="D103" s="367"/>
    </row>
    <row r="104" spans="3:9">
      <c r="C104" s="984" t="s">
        <v>51</v>
      </c>
      <c r="D104" s="984"/>
      <c r="E104" s="272" t="s">
        <v>115</v>
      </c>
      <c r="G104" s="406" t="s">
        <v>188</v>
      </c>
      <c r="I104" s="273" t="s">
        <v>248</v>
      </c>
    </row>
  </sheetData>
  <mergeCells count="22">
    <mergeCell ref="B1:I1"/>
    <mergeCell ref="B2:I2"/>
    <mergeCell ref="B3:I3"/>
    <mergeCell ref="C4:D4"/>
    <mergeCell ref="C5:D5"/>
    <mergeCell ref="E5:I5"/>
    <mergeCell ref="E68:I68"/>
    <mergeCell ref="B64:I64"/>
    <mergeCell ref="B65:I65"/>
    <mergeCell ref="B66:I66"/>
    <mergeCell ref="C6:D6"/>
    <mergeCell ref="C100:D100"/>
    <mergeCell ref="C104:D104"/>
    <mergeCell ref="C11:C12"/>
    <mergeCell ref="D11:D12"/>
    <mergeCell ref="C57:D57"/>
    <mergeCell ref="C61:D61"/>
    <mergeCell ref="C67:D67"/>
    <mergeCell ref="C68:D68"/>
    <mergeCell ref="C69:D69"/>
    <mergeCell ref="C74:C75"/>
    <mergeCell ref="D74:D75"/>
  </mergeCells>
  <pageMargins left="0.45" right="0.45" top="0.75" bottom="0.75" header="0.3" footer="0.3"/>
  <pageSetup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"/>
  <sheetViews>
    <sheetView workbookViewId="0">
      <selection activeCell="I24" sqref="I2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% APBDes</vt:lpstr>
      <vt:lpstr>APBDes2017</vt:lpstr>
      <vt:lpstr>RAB Penyelenggaraan Pem</vt:lpstr>
      <vt:lpstr>RABPembangunan</vt:lpstr>
      <vt:lpstr>RABPembinaanKemasY</vt:lpstr>
      <vt:lpstr>RABPemberdayaanMasy</vt:lpstr>
      <vt:lpstr>RAB Bid Tak Terduga</vt:lpstr>
      <vt:lpstr>SPP</vt:lpstr>
      <vt:lpstr>Kas Bantu</vt:lpstr>
      <vt:lpstr>T.J.Belanja</vt:lpstr>
      <vt:lpstr>Realisasi Belanja</vt:lpstr>
      <vt:lpstr>rekap permohonan DD</vt:lpstr>
      <vt:lpstr>Rekap Permohonan ADD</vt:lpstr>
      <vt:lpstr>Rekap PADes</vt:lpstr>
      <vt:lpstr>rkp SPP</vt:lpstr>
      <vt:lpstr>nitip</vt:lpstr>
      <vt:lpstr>Rkp SPPBid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2017-07-20T05:56:34Z</dcterms:modified>
</cp:coreProperties>
</file>